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13_ncr:1_{C17FAAC3-DA82-4065-9162-7A9B7DA9798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sumen" sheetId="1" r:id="rId1"/>
    <sheet name="Problema1_InteresSimple" sheetId="2" r:id="rId2"/>
    <sheet name="Problema2_ComparaciónOferta" sheetId="3" r:id="rId3"/>
    <sheet name="Problema3_Maquinaria" sheetId="4" r:id="rId4"/>
    <sheet name="Problema4_Cuenta" sheetId="5" r:id="rId5"/>
    <sheet name="Problema5_Inversion" sheetId="6" r:id="rId6"/>
    <sheet name="Problema6_Prestamo" sheetId="7" r:id="rId7"/>
    <sheet name="Problema7_TasasAnticipadas" sheetId="8" r:id="rId8"/>
    <sheet name="Problema8_Tasa" sheetId="9" r:id="rId9"/>
    <sheet name="Problema9_TasasEfectivasPeriodi" sheetId="10" r:id="rId10"/>
    <sheet name="P10_DepositoTerminoFijo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E12" i="11" s="1"/>
  <c r="B33" i="1" s="1"/>
  <c r="D11" i="11"/>
  <c r="E11" i="11" s="1"/>
  <c r="B32" i="1" s="1"/>
  <c r="D10" i="11"/>
  <c r="E10" i="11" s="1"/>
  <c r="B31" i="1" s="1"/>
  <c r="D9" i="11"/>
  <c r="E9" i="11" s="1"/>
  <c r="B30" i="1" s="1"/>
  <c r="D8" i="11"/>
  <c r="E8" i="11" s="1"/>
  <c r="B29" i="1" s="1"/>
  <c r="H11" i="10"/>
  <c r="G11" i="10"/>
  <c r="F11" i="10"/>
  <c r="E11" i="10"/>
  <c r="D11" i="10"/>
  <c r="H10" i="10"/>
  <c r="G10" i="10"/>
  <c r="F10" i="10"/>
  <c r="E10" i="10"/>
  <c r="D10" i="10"/>
  <c r="H9" i="10"/>
  <c r="G9" i="10"/>
  <c r="F9" i="10"/>
  <c r="E9" i="10"/>
  <c r="D9" i="10"/>
  <c r="H8" i="10"/>
  <c r="G8" i="10"/>
  <c r="F8" i="10"/>
  <c r="E8" i="10"/>
  <c r="D8" i="10"/>
  <c r="H7" i="10"/>
  <c r="G7" i="10"/>
  <c r="F7" i="10"/>
  <c r="E7" i="10"/>
  <c r="D7" i="10"/>
  <c r="C11" i="9"/>
  <c r="C10" i="9"/>
  <c r="C9" i="9"/>
  <c r="B25" i="1" s="1"/>
  <c r="C8" i="9"/>
  <c r="B24" i="1" s="1"/>
  <c r="C7" i="9"/>
  <c r="E10" i="8"/>
  <c r="D10" i="8"/>
  <c r="I10" i="8" s="1"/>
  <c r="D9" i="8"/>
  <c r="F9" i="8" s="1"/>
  <c r="I8" i="8"/>
  <c r="H8" i="8"/>
  <c r="G8" i="8"/>
  <c r="D8" i="8"/>
  <c r="F8" i="8" s="1"/>
  <c r="D7" i="8"/>
  <c r="I7" i="8" s="1"/>
  <c r="B6" i="7"/>
  <c r="C12" i="7" s="1"/>
  <c r="B20" i="1" s="1"/>
  <c r="E13" i="6"/>
  <c r="F13" i="6" s="1"/>
  <c r="G13" i="6" s="1"/>
  <c r="C13" i="6"/>
  <c r="F12" i="6"/>
  <c r="G12" i="6" s="1"/>
  <c r="E12" i="6"/>
  <c r="C12" i="6"/>
  <c r="E11" i="6"/>
  <c r="F11" i="6" s="1"/>
  <c r="G11" i="6" s="1"/>
  <c r="C11" i="6"/>
  <c r="E10" i="6"/>
  <c r="F10" i="6" s="1"/>
  <c r="G10" i="6" s="1"/>
  <c r="C10" i="6"/>
  <c r="H9" i="6"/>
  <c r="E9" i="6"/>
  <c r="F9" i="6" s="1"/>
  <c r="G9" i="6" s="1"/>
  <c r="C9" i="6"/>
  <c r="E15" i="5"/>
  <c r="F15" i="5" s="1"/>
  <c r="G15" i="5" s="1"/>
  <c r="H15" i="5" s="1"/>
  <c r="I15" i="5" s="1"/>
  <c r="J15" i="5" s="1"/>
  <c r="K15" i="5" s="1"/>
  <c r="L15" i="5" s="1"/>
  <c r="M15" i="5" s="1"/>
  <c r="B15" i="1" s="1"/>
  <c r="E14" i="5"/>
  <c r="F14" i="5" s="1"/>
  <c r="G14" i="5" s="1"/>
  <c r="H14" i="5" s="1"/>
  <c r="I14" i="5" s="1"/>
  <c r="J14" i="5" s="1"/>
  <c r="K14" i="5" s="1"/>
  <c r="L14" i="5" s="1"/>
  <c r="M14" i="5" s="1"/>
  <c r="B14" i="1" s="1"/>
  <c r="E13" i="5"/>
  <c r="F13" i="5" s="1"/>
  <c r="G13" i="5" s="1"/>
  <c r="H13" i="5" s="1"/>
  <c r="I13" i="5" s="1"/>
  <c r="J13" i="5" s="1"/>
  <c r="K13" i="5" s="1"/>
  <c r="L13" i="5" s="1"/>
  <c r="M13" i="5" s="1"/>
  <c r="B13" i="1" s="1"/>
  <c r="E12" i="4"/>
  <c r="D12" i="4"/>
  <c r="E11" i="4"/>
  <c r="D11" i="4"/>
  <c r="E10" i="4"/>
  <c r="D10" i="4"/>
  <c r="B6" i="4"/>
  <c r="F10" i="4" s="1"/>
  <c r="B10" i="1" s="1"/>
  <c r="E14" i="3"/>
  <c r="G14" i="3" s="1"/>
  <c r="K14" i="3" s="1"/>
  <c r="D13" i="3"/>
  <c r="K13" i="3" s="1"/>
  <c r="H12" i="3"/>
  <c r="J12" i="3" s="1"/>
  <c r="E12" i="3"/>
  <c r="G12" i="3" s="1"/>
  <c r="E11" i="3"/>
  <c r="G11" i="3" s="1"/>
  <c r="D11" i="3"/>
  <c r="E10" i="3"/>
  <c r="G10" i="3" s="1"/>
  <c r="K10" i="3" s="1"/>
  <c r="D10" i="3"/>
  <c r="E9" i="3"/>
  <c r="G9" i="3" s="1"/>
  <c r="K9" i="3" s="1"/>
  <c r="D9" i="3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G10" i="2" s="1"/>
  <c r="E9" i="2"/>
  <c r="F9" i="2" s="1"/>
  <c r="G9" i="2" s="1"/>
  <c r="B27" i="1"/>
  <c r="B26" i="1"/>
  <c r="B23" i="1"/>
  <c r="G15" i="2" l="1"/>
  <c r="G7" i="8"/>
  <c r="E9" i="8"/>
  <c r="G9" i="8"/>
  <c r="H9" i="8"/>
  <c r="I9" i="8"/>
  <c r="F7" i="8"/>
  <c r="E8" i="8"/>
  <c r="C13" i="7"/>
  <c r="B21" i="1" s="1"/>
  <c r="F12" i="4"/>
  <c r="B12" i="1" s="1"/>
  <c r="F11" i="4"/>
  <c r="B11" i="1" s="1"/>
  <c r="K11" i="3"/>
  <c r="K12" i="3"/>
  <c r="L10" i="3"/>
  <c r="M10" i="3"/>
  <c r="M12" i="3"/>
  <c r="L12" i="3"/>
  <c r="M11" i="3"/>
  <c r="L11" i="3"/>
  <c r="B6" i="1"/>
  <c r="G16" i="2"/>
  <c r="B7" i="1" s="1"/>
  <c r="I9" i="6"/>
  <c r="H10" i="6" s="1"/>
  <c r="I10" i="6" s="1"/>
  <c r="H11" i="6" s="1"/>
  <c r="I11" i="6" s="1"/>
  <c r="H12" i="6" s="1"/>
  <c r="I12" i="6" s="1"/>
  <c r="H13" i="6" s="1"/>
  <c r="I13" i="6" s="1"/>
  <c r="I15" i="6" s="1"/>
  <c r="B16" i="1" s="1"/>
  <c r="M13" i="3"/>
  <c r="L13" i="3"/>
  <c r="M14" i="3"/>
  <c r="L14" i="3"/>
  <c r="M9" i="3"/>
  <c r="L9" i="3"/>
  <c r="K16" i="3"/>
  <c r="K17" i="3"/>
  <c r="B9" i="1" s="1"/>
  <c r="E7" i="8"/>
  <c r="H7" i="8"/>
  <c r="F10" i="8"/>
  <c r="G10" i="8"/>
  <c r="H10" i="8"/>
  <c r="C10" i="7"/>
  <c r="B18" i="1" s="1"/>
  <c r="C9" i="7"/>
  <c r="B17" i="1" s="1"/>
  <c r="C11" i="7"/>
  <c r="B19" i="1" s="1"/>
  <c r="B8" i="1" l="1"/>
  <c r="K18" i="3"/>
</calcChain>
</file>

<file path=xl/sharedStrings.xml><?xml version="1.0" encoding="utf-8"?>
<sst xmlns="http://schemas.openxmlformats.org/spreadsheetml/2006/main" count="255" uniqueCount="202">
  <si>
    <t>Taller de Matemática Financiera en Excel</t>
  </si>
  <si>
    <t>Resolución de 10 problemas de interés simple, interés compuesto y conversión de tasas. Este archivo usa fórmulas de Excel en cada hoja.</t>
  </si>
  <si>
    <t>Problema</t>
  </si>
  <si>
    <t>Resultado principal</t>
  </si>
  <si>
    <t>Unidad</t>
  </si>
  <si>
    <t>P1 - Total ahorrado a 3 años</t>
  </si>
  <si>
    <t>COP</t>
  </si>
  <si>
    <t>P1 - Apertura equivalente hoy</t>
  </si>
  <si>
    <t>P2 - Mejor valor presente</t>
  </si>
  <si>
    <t>P2 - Opción recomendada</t>
  </si>
  <si>
    <t>Texto</t>
  </si>
  <si>
    <t>P3 - Apertura si paga semestre vencido</t>
  </si>
  <si>
    <t>P3 - Apertura si paga bimestre vencido</t>
  </si>
  <si>
    <t>P3 - Apertura si paga trimestre vencido</t>
  </si>
  <si>
    <t>P4 - Valor final con 14% anual MV</t>
  </si>
  <si>
    <t>P4 - Valor final con 18% anual MV</t>
  </si>
  <si>
    <t>P4 - Valor final con 20% anual BV</t>
  </si>
  <si>
    <t>P5 - Valor futuro de la inversión</t>
  </si>
  <si>
    <t>P6 - Préstamo con 1,20% EM</t>
  </si>
  <si>
    <t>P6 - Préstamo con 1,25% EM</t>
  </si>
  <si>
    <t>P6 - Préstamo con 1,30% EM</t>
  </si>
  <si>
    <t>P6 - Préstamo con 1,35% EM</t>
  </si>
  <si>
    <t>P6 - Préstamo con 1,45% EM</t>
  </si>
  <si>
    <t>P7 - Conversión de tasas anticipadas</t>
  </si>
  <si>
    <t>Tabla</t>
  </si>
  <si>
    <t>P8 - Tasa para 5 años y $98M</t>
  </si>
  <si>
    <t>% EA</t>
  </si>
  <si>
    <t>P8 - Tasa para 6 años y $105M</t>
  </si>
  <si>
    <t>P8 - Tasa para 7 años y $108M</t>
  </si>
  <si>
    <t>P8 - Tasa para 8 años y $111M</t>
  </si>
  <si>
    <t>P8 - Tasa para 9 años y $115M</t>
  </si>
  <si>
    <t>P9 - Conversión de tasas efectivas</t>
  </si>
  <si>
    <t>P10 - VF con 5% efectivo semestral</t>
  </si>
  <si>
    <t>P10 - VF con 3% efectivo trimestral</t>
  </si>
  <si>
    <t>P10 - VF con 4,2% efectivo cuatrimestral</t>
  </si>
  <si>
    <t>P10 - VF con 6,3% efectivo bimestral</t>
  </si>
  <si>
    <t>P10 - VF con 2,5% efectivo mensual</t>
  </si>
  <si>
    <t>Tasa quincenal</t>
  </si>
  <si>
    <t>Quincenas en 3 años</t>
  </si>
  <si>
    <t>Valor</t>
  </si>
  <si>
    <t>Meses transcurridos</t>
  </si>
  <si>
    <t>Quincenas transcurridas</t>
  </si>
  <si>
    <t>Quincenas faltantes</t>
  </si>
  <si>
    <t>Factor simple</t>
  </si>
  <si>
    <t>Valor futuro a 3 años</t>
  </si>
  <si>
    <t>Observación</t>
  </si>
  <si>
    <t>4 meses y 15 días</t>
  </si>
  <si>
    <t>6 meses y 15 días</t>
  </si>
  <si>
    <t>9 meses y 15 días</t>
  </si>
  <si>
    <t>15 meses</t>
  </si>
  <si>
    <t>18 meses</t>
  </si>
  <si>
    <t>Total ahorrado al cabo de 3 años</t>
  </si>
  <si>
    <t>Valor con que debería abrir la cuenta</t>
  </si>
  <si>
    <t>Problema 2 - Comparación de ofertas para vender un terreno</t>
  </si>
  <si>
    <t>Se usa valor presente simple: VP = VF / (1 + i*t). La oferta más conveniente es la de mayor VP.</t>
  </si>
  <si>
    <t>Valor hoy del terreno</t>
  </si>
  <si>
    <t>Rendimiento normal anual</t>
  </si>
  <si>
    <t>Opción</t>
  </si>
  <si>
    <t>Base nominal</t>
  </si>
  <si>
    <t>% inicial</t>
  </si>
  <si>
    <t>Pago hoy</t>
  </si>
  <si>
    <t>Pago futuro 1</t>
  </si>
  <si>
    <t>t1 (años)</t>
  </si>
  <si>
    <t>VP pago 1</t>
  </si>
  <si>
    <t>Pago futuro 2</t>
  </si>
  <si>
    <t>t2 (años)</t>
  </si>
  <si>
    <t>VP pago 2</t>
  </si>
  <si>
    <t>VP total</t>
  </si>
  <si>
    <t>Ranking</t>
  </si>
  <si>
    <t>Conclusión</t>
  </si>
  <si>
    <t>a</t>
  </si>
  <si>
    <t>b</t>
  </si>
  <si>
    <t>c</t>
  </si>
  <si>
    <t>d</t>
  </si>
  <si>
    <t>e</t>
  </si>
  <si>
    <t>f</t>
  </si>
  <si>
    <t>Mayor valor presente</t>
  </si>
  <si>
    <t>Oferta recomendada</t>
  </si>
  <si>
    <t>Diferencia vs valor hoy</t>
  </si>
  <si>
    <t>Problema 3 - Ahorro para reemplazo de maquinaria</t>
  </si>
  <si>
    <t>Se necesita acumular el faltante futuro: F = Precio nueva - Venta usada. Luego: C0 = F / (1+i)^n.</t>
  </si>
  <si>
    <t>Valor de venta de la máquina usada</t>
  </si>
  <si>
    <t>Precio de la máquina nueva</t>
  </si>
  <si>
    <t>Faltante a cubrir al año 2,5</t>
  </si>
  <si>
    <t>Tiempo (años)</t>
  </si>
  <si>
    <t>Periodicidad</t>
  </si>
  <si>
    <t>Periodos/año</t>
  </si>
  <si>
    <t>Tasa nominal anual</t>
  </si>
  <si>
    <t>Tasa periódica</t>
  </si>
  <si>
    <t>Nº periodos</t>
  </si>
  <si>
    <t>Valor hoy a invertir</t>
  </si>
  <si>
    <t>Comentario</t>
  </si>
  <si>
    <t>Semestre vencido</t>
  </si>
  <si>
    <t>18%/2</t>
  </si>
  <si>
    <t>Bimestre vencido</t>
  </si>
  <si>
    <t>18%/6</t>
  </si>
  <si>
    <t>Trimestre vencido</t>
  </si>
  <si>
    <t>18%/4</t>
  </si>
  <si>
    <t>Problema 4 - Movimientos sucesivos en cuenta de ahorros</t>
  </si>
  <si>
    <t>Secuencia: depósito inicial -&gt; retiro del 50% al mes 12 -&gt; depósito igual al saldo al mes 18 -&gt; depósito igual al saldo al mes 27 -&gt; cancelación 24 meses después.</t>
  </si>
  <si>
    <t>Depósito inicial</t>
  </si>
  <si>
    <t>Meses hasta retiro</t>
  </si>
  <si>
    <t>Porcentaje retirado</t>
  </si>
  <si>
    <t>Meses hasta depósito 1</t>
  </si>
  <si>
    <t>Meses hasta depósito 2</t>
  </si>
  <si>
    <t>Meses hasta cancelación</t>
  </si>
  <si>
    <t>Escenario</t>
  </si>
  <si>
    <t>Meses/periodo</t>
  </si>
  <si>
    <t>Tasa mensual equivalente</t>
  </si>
  <si>
    <t>Saldo mes 12</t>
  </si>
  <si>
    <t>Saldo tras retiro</t>
  </si>
  <si>
    <t>Saldo mes 18</t>
  </si>
  <si>
    <t>Saldo tras depósito 1</t>
  </si>
  <si>
    <t>Saldo mes 27</t>
  </si>
  <si>
    <t>Saldo tras depósito 2</t>
  </si>
  <si>
    <t>Valor final</t>
  </si>
  <si>
    <t>14% anual MV</t>
  </si>
  <si>
    <t>18% anual MV</t>
  </si>
  <si>
    <t>20% anual BV</t>
  </si>
  <si>
    <t>Problema 5 - Inversión con tasas variables y capitalización trimestral</t>
  </si>
  <si>
    <t>Conversión usada: i_trimestral = (1 + j_MV/12)^3 - 1. Cada tramo acumula el saldo del tramo anterior.</t>
  </si>
  <si>
    <t>Inversión inicial</t>
  </si>
  <si>
    <t>Tramo</t>
  </si>
  <si>
    <t>Duración (años)</t>
  </si>
  <si>
    <t>Trimestres</t>
  </si>
  <si>
    <t>Tasa nominal anual MV</t>
  </si>
  <si>
    <t>Tasa mensual</t>
  </si>
  <si>
    <t>Tasa efectiva trimestral</t>
  </si>
  <si>
    <t>Factor del tramo</t>
  </si>
  <si>
    <t>Saldo inicial del tramo</t>
  </si>
  <si>
    <t>Saldo final del tramo</t>
  </si>
  <si>
    <t>Año 1</t>
  </si>
  <si>
    <t>Año 1,5 siguiente</t>
  </si>
  <si>
    <t>Año siguiente</t>
  </si>
  <si>
    <t>Resto del plazo</t>
  </si>
  <si>
    <t>Valor futuro al final de 8 años</t>
  </si>
  <si>
    <t>Problema 6 - Valor presente de un préstamo</t>
  </si>
  <si>
    <t>Fórmula: VP = VF / (1+i)^n, con n = 7 años * 12 meses = 84 meses.</t>
  </si>
  <si>
    <t>Valor pagado al final</t>
  </si>
  <si>
    <t>Plazo (años)</t>
  </si>
  <si>
    <t>Meses totales</t>
  </si>
  <si>
    <t>Tasa efectiva mensual</t>
  </si>
  <si>
    <t>Monto solicitado (VP)</t>
  </si>
  <si>
    <t>1,20% EM</t>
  </si>
  <si>
    <t>A mayor tasa, menor valor presente</t>
  </si>
  <si>
    <t>1,25% EM</t>
  </si>
  <si>
    <t>1,30% EM</t>
  </si>
  <si>
    <t>1,35% EM</t>
  </si>
  <si>
    <t>1,45% EM</t>
  </si>
  <si>
    <t>Problema 7 - Conversión de tasas anticipadas</t>
  </si>
  <si>
    <t>Paso 1: convertir anticipada a efectiva del mismo periodo con i = d / (1-d). Paso 2: llevar a los demás periodos con equivalencia compuesta.</t>
  </si>
  <si>
    <t>Tasa de origen</t>
  </si>
  <si>
    <t>d anticipada</t>
  </si>
  <si>
    <t>Meses origen</t>
  </si>
  <si>
    <t>i efectiva mismo periodo</t>
  </si>
  <si>
    <t>Efectiva mensual</t>
  </si>
  <si>
    <t>Efectiva bimestral</t>
  </si>
  <si>
    <t>Efectiva trimestral</t>
  </si>
  <si>
    <t>Efectiva cuatrimestral</t>
  </si>
  <si>
    <t>Efectiva semestral</t>
  </si>
  <si>
    <t>1,25% mensual anticipada</t>
  </si>
  <si>
    <t>2,15% bimensual anticipada</t>
  </si>
  <si>
    <t>3,25% trimestral anticipada</t>
  </si>
  <si>
    <t>6,45% semestral anticipada</t>
  </si>
  <si>
    <t>Problema 8 - Tasa requerida para metas futuras</t>
  </si>
  <si>
    <t>Fórmula: i = (VF / VP)^(1/n) - 1, interpretada como tasa efectiva anual.</t>
  </si>
  <si>
    <t>Capital inicial</t>
  </si>
  <si>
    <t>Años</t>
  </si>
  <si>
    <t>Valor futuro</t>
  </si>
  <si>
    <t>Tasa efectiva anual</t>
  </si>
  <si>
    <t>Tasa anual equivalente</t>
  </si>
  <si>
    <t>Problema 9 - Equivalencia entre tasas efectivas periódicas</t>
  </si>
  <si>
    <t>Conversión general: i_obj = (1 + i_base)^(meses_obj / meses_base) - 1.</t>
  </si>
  <si>
    <t>i efectiva</t>
  </si>
  <si>
    <t>Efectiva anual</t>
  </si>
  <si>
    <t>1,38% mensual efectiva</t>
  </si>
  <si>
    <t>2,45% bimensual efectiva</t>
  </si>
  <si>
    <t>3,65% trimestral efectiva</t>
  </si>
  <si>
    <t>5,75% cuatrimestral efectiva</t>
  </si>
  <si>
    <t>6,70% semestral efectiva</t>
  </si>
  <si>
    <t>Problema 10 - Valor futuro de un depósito a término fijo</t>
  </si>
  <si>
    <t>Fórmula: VF = VP*(1+i)^n, ajustando n según la periodicidad de la tasa.</t>
  </si>
  <si>
    <t>Tasa efectiva periódica</t>
  </si>
  <si>
    <t>Meses por periodo</t>
  </si>
  <si>
    <t>Número de periodos</t>
  </si>
  <si>
    <t>5% efectivo semestral</t>
  </si>
  <si>
    <t>Monto recibido al vencimiento</t>
  </si>
  <si>
    <t>3% efectivo trimestral</t>
  </si>
  <si>
    <t>4,2% efectivo cuatrimestral</t>
  </si>
  <si>
    <t>6,3% efectivo bimestral</t>
  </si>
  <si>
    <t>2,5% efectivo mensual</t>
  </si>
  <si>
    <t>Tiempo</t>
  </si>
  <si>
    <t>Formula general: M = C*(1+i*n). El valor inicial equivalente es C0 = M / (1+i*N).</t>
  </si>
  <si>
    <t>Deposito</t>
  </si>
  <si>
    <t>Deposito 1</t>
  </si>
  <si>
    <t>Deposito 2</t>
  </si>
  <si>
    <t>Deposito 3</t>
  </si>
  <si>
    <t>Deposito 4</t>
  </si>
  <si>
    <t>Depoisito 5</t>
  </si>
  <si>
    <t>Problema 1 - Ahorro con interes simple</t>
  </si>
  <si>
    <t>Hoja Problema7_TasasAnticipadas</t>
  </si>
  <si>
    <t>Hoja Problema9_TasasEfectivasPeriodi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</si>
</sst>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[Red]\(\$#,##0\);\-"/>
    <numFmt numFmtId="165" formatCode="0.0000%"/>
    <numFmt numFmtId="166" formatCode="#,##0;[Red]\(#,##0\);\-"/>
    <numFmt numFmtId="167" formatCode="0.0"/>
    <numFmt numFmtId="168" formatCode="0.0000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666666"/>
      <name val="Calibri"/>
    </font>
    <font>
      <sz val="11"/>
      <color rgb="FF000000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3F3F3"/>
      </patternFill>
    </fill>
    <fill>
      <patternFill patternType="solid">
        <fgColor rgb="FFE2F0D9"/>
      </patternFill>
    </fill>
    <fill>
      <patternFill patternType="solid">
        <fgColor rgb="FFDDEBF7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10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64" fontId="6" fillId="6" borderId="1" xfId="0" applyNumberFormat="1" applyFont="1" applyFill="1" applyBorder="1" applyAlignment="1">
      <alignment vertical="center"/>
    </xf>
    <xf numFmtId="168" fontId="6" fillId="0" borderId="1" xfId="0" applyNumberFormat="1" applyFont="1" applyBorder="1" applyAlignment="1">
      <alignment vertical="center"/>
    </xf>
    <xf numFmtId="166" fontId="6" fillId="5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6" fillId="6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workbookViewId="0">
      <selection activeCell="B31" sqref="B31"/>
    </sheetView>
  </sheetViews>
  <sheetFormatPr baseColWidth="10" defaultColWidth="9.140625" defaultRowHeight="15" x14ac:dyDescent="0.25"/>
  <cols>
    <col min="1" max="1" width="34" customWidth="1"/>
    <col min="2" max="2" width="37.85546875" customWidth="1"/>
    <col min="3" max="7" width="20" customWidth="1"/>
  </cols>
  <sheetData>
    <row r="1" spans="1:7" ht="24" customHeight="1" x14ac:dyDescent="0.25">
      <c r="A1" s="27" t="s">
        <v>0</v>
      </c>
      <c r="B1" s="28"/>
      <c r="C1" s="28"/>
      <c r="D1" s="28"/>
      <c r="E1" s="28"/>
      <c r="F1" s="28"/>
      <c r="G1" s="28"/>
    </row>
    <row r="2" spans="1:7" x14ac:dyDescent="0.25">
      <c r="A2" s="29" t="s">
        <v>1</v>
      </c>
      <c r="B2" s="28"/>
      <c r="C2" s="28"/>
      <c r="D2" s="28"/>
      <c r="E2" s="28"/>
      <c r="F2" s="28"/>
      <c r="G2" s="28"/>
    </row>
    <row r="4" spans="1:7" ht="15.75" thickBot="1" x14ac:dyDescent="0.3"/>
    <row r="5" spans="1:7" x14ac:dyDescent="0.25">
      <c r="A5" s="1" t="s">
        <v>2</v>
      </c>
      <c r="B5" s="1" t="s">
        <v>3</v>
      </c>
      <c r="C5" s="1" t="s">
        <v>4</v>
      </c>
    </row>
    <row r="6" spans="1:7" x14ac:dyDescent="0.25">
      <c r="A6" s="2" t="s">
        <v>5</v>
      </c>
      <c r="B6" s="3">
        <f>Problema1_InteresSimple!G15</f>
        <v>13090675</v>
      </c>
      <c r="C6" s="2" t="s">
        <v>6</v>
      </c>
    </row>
    <row r="7" spans="1:7" x14ac:dyDescent="0.25">
      <c r="A7" s="2" t="s">
        <v>7</v>
      </c>
      <c r="B7" s="3">
        <f>Problema1_InteresSimple!G16</f>
        <v>7773559.9762470312</v>
      </c>
      <c r="C7" s="2" t="s">
        <v>6</v>
      </c>
    </row>
    <row r="8" spans="1:7" x14ac:dyDescent="0.25">
      <c r="A8" s="2" t="s">
        <v>8</v>
      </c>
      <c r="B8" s="3">
        <f>Problema2_ComparaciónOferta!K16</f>
        <v>266000000</v>
      </c>
      <c r="C8" s="2" t="s">
        <v>6</v>
      </c>
    </row>
    <row r="9" spans="1:7" x14ac:dyDescent="0.25">
      <c r="A9" s="2" t="s">
        <v>9</v>
      </c>
      <c r="B9" s="4" t="str">
        <f>Problema2_ComparaciónOferta!K17</f>
        <v>e</v>
      </c>
      <c r="C9" s="2" t="s">
        <v>10</v>
      </c>
    </row>
    <row r="10" spans="1:7" ht="30" x14ac:dyDescent="0.25">
      <c r="A10" s="2" t="s">
        <v>11</v>
      </c>
      <c r="B10" s="3">
        <f>Problema3_Maquinaria!F10</f>
        <v>61743481.6983428</v>
      </c>
      <c r="C10" s="2" t="s">
        <v>6</v>
      </c>
    </row>
    <row r="11" spans="1:7" ht="30" x14ac:dyDescent="0.25">
      <c r="A11" s="2" t="s">
        <v>12</v>
      </c>
      <c r="B11" s="3">
        <f>Problema3_Maquinaria!F11</f>
        <v>60976885.002688177</v>
      </c>
      <c r="C11" s="2" t="s">
        <v>6</v>
      </c>
    </row>
    <row r="12" spans="1:7" ht="30" x14ac:dyDescent="0.25">
      <c r="A12" s="2" t="s">
        <v>13</v>
      </c>
      <c r="B12" s="3">
        <f>Problema3_Maquinaria!F12</f>
        <v>61173129.792854108</v>
      </c>
      <c r="C12" s="2" t="s">
        <v>6</v>
      </c>
    </row>
    <row r="13" spans="1:7" x14ac:dyDescent="0.25">
      <c r="A13" s="2" t="s">
        <v>14</v>
      </c>
      <c r="B13" s="3">
        <f>Problema4_Cuenta!M13</f>
        <v>126475823.34004478</v>
      </c>
      <c r="C13" s="2" t="s">
        <v>6</v>
      </c>
    </row>
    <row r="14" spans="1:7" x14ac:dyDescent="0.25">
      <c r="A14" s="2" t="s">
        <v>15</v>
      </c>
      <c r="B14" s="3">
        <f>Problema4_Cuenta!M14</f>
        <v>149577473.98416004</v>
      </c>
      <c r="C14" s="2" t="s">
        <v>6</v>
      </c>
    </row>
    <row r="15" spans="1:7" x14ac:dyDescent="0.25">
      <c r="A15" s="2" t="s">
        <v>16</v>
      </c>
      <c r="B15" s="3">
        <f>Problema4_Cuenta!M15</f>
        <v>161521090.26869431</v>
      </c>
      <c r="C15" s="2" t="s">
        <v>6</v>
      </c>
    </row>
    <row r="16" spans="1:7" x14ac:dyDescent="0.25">
      <c r="A16" s="2" t="s">
        <v>17</v>
      </c>
      <c r="B16" s="3">
        <f>Problema5_Inversion!I15</f>
        <v>148059071.81564015</v>
      </c>
      <c r="C16" s="2" t="s">
        <v>6</v>
      </c>
    </row>
    <row r="17" spans="1:3" x14ac:dyDescent="0.25">
      <c r="A17" s="2" t="s">
        <v>18</v>
      </c>
      <c r="B17" s="3">
        <f>Problema6_Prestamo!C9</f>
        <v>31207276.969041005</v>
      </c>
      <c r="C17" s="2" t="s">
        <v>6</v>
      </c>
    </row>
    <row r="18" spans="1:3" x14ac:dyDescent="0.25">
      <c r="A18" s="2" t="s">
        <v>19</v>
      </c>
      <c r="B18" s="3">
        <f>Problema6_Prestamo!C10</f>
        <v>29938928.095932301</v>
      </c>
      <c r="C18" s="2" t="s">
        <v>6</v>
      </c>
    </row>
    <row r="19" spans="1:3" x14ac:dyDescent="0.25">
      <c r="A19" s="2" t="s">
        <v>20</v>
      </c>
      <c r="B19" s="3">
        <f>Problema6_Prestamo!C11</f>
        <v>28722716.751000617</v>
      </c>
      <c r="C19" s="2" t="s">
        <v>6</v>
      </c>
    </row>
    <row r="20" spans="1:3" x14ac:dyDescent="0.25">
      <c r="A20" s="2" t="s">
        <v>21</v>
      </c>
      <c r="B20" s="3">
        <f>Problema6_Prestamo!C12</f>
        <v>27556475.57454275</v>
      </c>
      <c r="C20" s="2" t="s">
        <v>6</v>
      </c>
    </row>
    <row r="21" spans="1:3" x14ac:dyDescent="0.25">
      <c r="A21" s="2" t="s">
        <v>22</v>
      </c>
      <c r="B21" s="3">
        <f>Problema6_Prestamo!C13</f>
        <v>25365685.920425605</v>
      </c>
      <c r="C21" s="2" t="s">
        <v>6</v>
      </c>
    </row>
    <row r="22" spans="1:3" x14ac:dyDescent="0.25">
      <c r="A22" s="2" t="s">
        <v>23</v>
      </c>
      <c r="B22" s="5" t="s">
        <v>200</v>
      </c>
      <c r="C22" s="2" t="s">
        <v>24</v>
      </c>
    </row>
    <row r="23" spans="1:3" x14ac:dyDescent="0.25">
      <c r="A23" s="2" t="s">
        <v>25</v>
      </c>
      <c r="B23" s="6">
        <f>Problema8_Tasa!C7</f>
        <v>6.9610375725068785E-2</v>
      </c>
      <c r="C23" s="2" t="s">
        <v>26</v>
      </c>
    </row>
    <row r="24" spans="1:3" x14ac:dyDescent="0.25">
      <c r="A24" s="2" t="s">
        <v>27</v>
      </c>
      <c r="B24" s="6">
        <f>Problema8_Tasa!C8</f>
        <v>6.991319393366302E-2</v>
      </c>
      <c r="C24" s="2" t="s">
        <v>26</v>
      </c>
    </row>
    <row r="25" spans="1:3" x14ac:dyDescent="0.25">
      <c r="A25" s="2" t="s">
        <v>28</v>
      </c>
      <c r="B25" s="6">
        <f>Problema8_Tasa!C9</f>
        <v>6.390701785613695E-2</v>
      </c>
      <c r="C25" s="2" t="s">
        <v>26</v>
      </c>
    </row>
    <row r="26" spans="1:3" x14ac:dyDescent="0.25">
      <c r="A26" s="2" t="s">
        <v>29</v>
      </c>
      <c r="B26" s="6">
        <f>Problema8_Tasa!C10</f>
        <v>5.9322306219564247E-2</v>
      </c>
      <c r="C26" s="2" t="s">
        <v>26</v>
      </c>
    </row>
    <row r="27" spans="1:3" x14ac:dyDescent="0.25">
      <c r="A27" s="2" t="s">
        <v>30</v>
      </c>
      <c r="B27" s="6">
        <f>Problema8_Tasa!C11</f>
        <v>5.6709309113653905E-2</v>
      </c>
      <c r="C27" s="2" t="s">
        <v>26</v>
      </c>
    </row>
    <row r="28" spans="1:3" x14ac:dyDescent="0.25">
      <c r="A28" s="2" t="s">
        <v>31</v>
      </c>
      <c r="B28" s="5" t="s">
        <v>201</v>
      </c>
      <c r="C28" s="2" t="s">
        <v>24</v>
      </c>
    </row>
    <row r="29" spans="1:3" x14ac:dyDescent="0.25">
      <c r="A29" s="2" t="s">
        <v>32</v>
      </c>
      <c r="B29" s="3">
        <f>P10_DepositoTerminoFijo!E8</f>
        <v>122167097.00830811</v>
      </c>
      <c r="C29" s="2" t="s">
        <v>6</v>
      </c>
    </row>
    <row r="30" spans="1:3" x14ac:dyDescent="0.25">
      <c r="A30" s="2" t="s">
        <v>33</v>
      </c>
      <c r="B30" s="3">
        <f>P10_DepositoTerminoFijo!E9</f>
        <v>135458342.60020599</v>
      </c>
      <c r="C30" s="2" t="s">
        <v>6</v>
      </c>
    </row>
    <row r="31" spans="1:3" ht="30" x14ac:dyDescent="0.25">
      <c r="A31" s="2" t="s">
        <v>34</v>
      </c>
      <c r="B31" s="3">
        <f>P10_DepositoTerminoFijo!E10</f>
        <v>139019924.34972954</v>
      </c>
      <c r="C31" s="2" t="s">
        <v>6</v>
      </c>
    </row>
    <row r="32" spans="1:3" x14ac:dyDescent="0.25">
      <c r="A32" s="2" t="s">
        <v>35</v>
      </c>
      <c r="B32" s="3">
        <f>P10_DepositoTerminoFijo!E11</f>
        <v>468877290.89536083</v>
      </c>
      <c r="C32" s="2" t="s">
        <v>6</v>
      </c>
    </row>
    <row r="33" spans="1:3" x14ac:dyDescent="0.25">
      <c r="A33" s="2" t="s">
        <v>36</v>
      </c>
      <c r="B33" s="3">
        <f>P10_DepositoTerminoFijo!E12</f>
        <v>329984231.16112757</v>
      </c>
      <c r="C33" s="2" t="s">
        <v>6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showGridLines="0" workbookViewId="0">
      <selection activeCell="M46" sqref="M46"/>
    </sheetView>
  </sheetViews>
  <sheetFormatPr baseColWidth="10" defaultColWidth="9.140625" defaultRowHeight="15" x14ac:dyDescent="0.25"/>
  <cols>
    <col min="1" max="1" width="26" customWidth="1"/>
    <col min="2" max="2" width="18" customWidth="1"/>
    <col min="3" max="3" width="14" customWidth="1"/>
    <col min="4" max="8" width="18" customWidth="1"/>
  </cols>
  <sheetData>
    <row r="1" spans="1:8" ht="24" customHeight="1" x14ac:dyDescent="0.25">
      <c r="A1" s="27" t="s">
        <v>171</v>
      </c>
      <c r="B1" s="28"/>
      <c r="C1" s="28"/>
      <c r="D1" s="28"/>
      <c r="E1" s="28"/>
      <c r="F1" s="28"/>
      <c r="G1" s="28"/>
      <c r="H1" s="28"/>
    </row>
    <row r="2" spans="1:8" x14ac:dyDescent="0.25">
      <c r="A2" s="29" t="s">
        <v>172</v>
      </c>
      <c r="B2" s="28"/>
      <c r="C2" s="28"/>
      <c r="D2" s="28"/>
      <c r="E2" s="28"/>
      <c r="F2" s="28"/>
      <c r="G2" s="28"/>
      <c r="H2" s="28"/>
    </row>
    <row r="6" spans="1:8" x14ac:dyDescent="0.25">
      <c r="A6" s="1" t="s">
        <v>151</v>
      </c>
      <c r="B6" s="1" t="s">
        <v>173</v>
      </c>
      <c r="C6" s="1" t="s">
        <v>153</v>
      </c>
      <c r="D6" s="1" t="s">
        <v>155</v>
      </c>
      <c r="E6" s="1" t="s">
        <v>156</v>
      </c>
      <c r="F6" s="1" t="s">
        <v>157</v>
      </c>
      <c r="G6" s="1" t="s">
        <v>159</v>
      </c>
      <c r="H6" s="1" t="s">
        <v>174</v>
      </c>
    </row>
    <row r="7" spans="1:8" x14ac:dyDescent="0.25">
      <c r="A7" s="2" t="s">
        <v>175</v>
      </c>
      <c r="B7" s="25">
        <v>1.38E-2</v>
      </c>
      <c r="C7" s="9">
        <v>1</v>
      </c>
      <c r="D7" s="13">
        <f>(1+B7)^(1/C7)-1</f>
        <v>1.3800000000000034E-2</v>
      </c>
      <c r="E7" s="13">
        <f>(1+B7)^(2/C7)-1</f>
        <v>2.7790439999999972E-2</v>
      </c>
      <c r="F7" s="13">
        <f>(1+B7)^(3/C7)-1</f>
        <v>4.1973948072000056E-2</v>
      </c>
      <c r="G7" s="13">
        <f>(1+B7)^(6/C7)-1</f>
        <v>8.5709708460750988E-2</v>
      </c>
      <c r="H7" s="26">
        <f>(1+B7)^(12/C7)-1</f>
        <v>0.17876557104592883</v>
      </c>
    </row>
    <row r="8" spans="1:8" x14ac:dyDescent="0.25">
      <c r="A8" s="2" t="s">
        <v>176</v>
      </c>
      <c r="B8" s="25">
        <v>2.4500000000000001E-2</v>
      </c>
      <c r="C8" s="9">
        <v>2</v>
      </c>
      <c r="D8" s="13">
        <f>(1+B8)^(1/C8)-1</f>
        <v>1.21758740456126E-2</v>
      </c>
      <c r="E8" s="13">
        <f>(1+B8)^(2/C8)-1</f>
        <v>2.4499999999999966E-2</v>
      </c>
      <c r="F8" s="13">
        <f>(1+B8)^(3/C8)-1</f>
        <v>3.6974182959730095E-2</v>
      </c>
      <c r="G8" s="13">
        <f>(1+B8)^(6/C8)-1</f>
        <v>7.5315456124999791E-2</v>
      </c>
      <c r="H8" s="26">
        <f>(1+B8)^(12/C8)-1</f>
        <v>0.15630333018131637</v>
      </c>
    </row>
    <row r="9" spans="1:8" x14ac:dyDescent="0.25">
      <c r="A9" s="2" t="s">
        <v>177</v>
      </c>
      <c r="B9" s="25">
        <v>3.6499999999999998E-2</v>
      </c>
      <c r="C9" s="9">
        <v>3</v>
      </c>
      <c r="D9" s="13">
        <f>(1+B9)^(1/C9)-1</f>
        <v>1.202156942367516E-2</v>
      </c>
      <c r="E9" s="13">
        <f>(1+B9)^(2/C9)-1</f>
        <v>2.4187656978758687E-2</v>
      </c>
      <c r="F9" s="13">
        <f>(1+B9)^(3/C9)-1</f>
        <v>3.6499999999999977E-2</v>
      </c>
      <c r="G9" s="13">
        <f>(1+B9)^(6/C9)-1</f>
        <v>7.4332249999999878E-2</v>
      </c>
      <c r="H9" s="26">
        <f>(1+B9)^(12/C9)-1</f>
        <v>0.15418978339006228</v>
      </c>
    </row>
    <row r="10" spans="1:8" ht="30" x14ac:dyDescent="0.25">
      <c r="A10" s="2" t="s">
        <v>178</v>
      </c>
      <c r="B10" s="25">
        <v>5.7500000000000002E-2</v>
      </c>
      <c r="C10" s="9">
        <v>4</v>
      </c>
      <c r="D10" s="13">
        <f>(1+B10)^(1/C10)-1</f>
        <v>1.4075041631612439E-2</v>
      </c>
      <c r="E10" s="13">
        <f>(1+B10)^(2/C10)-1</f>
        <v>2.8348190060156764E-2</v>
      </c>
      <c r="F10" s="13">
        <f>(1+B10)^(3/C10)-1</f>
        <v>4.2822233647046737E-2</v>
      </c>
      <c r="G10" s="13">
        <f>(1+B10)^(6/C10)-1</f>
        <v>8.7478210988615857E-2</v>
      </c>
      <c r="H10" s="26">
        <f>(1+B10)^(12/C10)-1</f>
        <v>0.18260885937500038</v>
      </c>
    </row>
    <row r="11" spans="1:8" x14ac:dyDescent="0.25">
      <c r="A11" s="2" t="s">
        <v>179</v>
      </c>
      <c r="B11" s="25">
        <v>6.7000000000000004E-2</v>
      </c>
      <c r="C11" s="9">
        <v>6</v>
      </c>
      <c r="D11" s="13">
        <f>(1+B11)^(1/C11)-1</f>
        <v>1.0867118190592162E-2</v>
      </c>
      <c r="E11" s="13">
        <f>(1+B11)^(2/C11)-1</f>
        <v>2.1852330638952644E-2</v>
      </c>
      <c r="F11" s="13">
        <f>(1+B11)^(3/C11)-1</f>
        <v>3.2956920689338309E-2</v>
      </c>
      <c r="G11" s="13">
        <f>(1+B11)^(6/C11)-1</f>
        <v>6.6999999999999948E-2</v>
      </c>
      <c r="H11" s="26">
        <f>(1+B11)^(12/C11)-1</f>
        <v>0.13848899999999986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showGridLines="0" workbookViewId="0">
      <selection activeCell="A13" sqref="A13:XFD18"/>
    </sheetView>
  </sheetViews>
  <sheetFormatPr baseColWidth="10" defaultColWidth="9.140625" defaultRowHeight="15" x14ac:dyDescent="0.25"/>
  <cols>
    <col min="1" max="1" width="22" customWidth="1"/>
    <col min="2" max="2" width="18" customWidth="1"/>
    <col min="3" max="4" width="16" customWidth="1"/>
    <col min="5" max="5" width="18" customWidth="1"/>
    <col min="6" max="6" width="20" customWidth="1"/>
  </cols>
  <sheetData>
    <row r="1" spans="1:6" ht="24" customHeight="1" x14ac:dyDescent="0.25">
      <c r="A1" s="27" t="s">
        <v>180</v>
      </c>
      <c r="B1" s="28"/>
      <c r="C1" s="28"/>
      <c r="D1" s="28"/>
      <c r="E1" s="28"/>
      <c r="F1" s="28"/>
    </row>
    <row r="2" spans="1:6" x14ac:dyDescent="0.25">
      <c r="A2" s="29" t="s">
        <v>181</v>
      </c>
      <c r="B2" s="28"/>
      <c r="C2" s="28"/>
      <c r="D2" s="28"/>
      <c r="E2" s="28"/>
      <c r="F2" s="28"/>
    </row>
    <row r="4" spans="1:6" x14ac:dyDescent="0.25">
      <c r="A4" s="7" t="s">
        <v>121</v>
      </c>
      <c r="B4" s="10">
        <v>75000000</v>
      </c>
    </row>
    <row r="5" spans="1:6" x14ac:dyDescent="0.25">
      <c r="A5" s="7" t="s">
        <v>139</v>
      </c>
      <c r="B5" s="9">
        <v>5</v>
      </c>
    </row>
    <row r="7" spans="1:6" ht="30" x14ac:dyDescent="0.25">
      <c r="A7" s="1" t="s">
        <v>106</v>
      </c>
      <c r="B7" s="1" t="s">
        <v>182</v>
      </c>
      <c r="C7" s="1" t="s">
        <v>183</v>
      </c>
      <c r="D7" s="1" t="s">
        <v>184</v>
      </c>
      <c r="E7" s="1" t="s">
        <v>168</v>
      </c>
      <c r="F7" s="1" t="s">
        <v>45</v>
      </c>
    </row>
    <row r="8" spans="1:6" ht="30" x14ac:dyDescent="0.25">
      <c r="A8" s="2" t="s">
        <v>185</v>
      </c>
      <c r="B8" s="25">
        <v>0.05</v>
      </c>
      <c r="C8" s="9">
        <v>6</v>
      </c>
      <c r="D8" s="17">
        <f>$B$5*12/C8</f>
        <v>10</v>
      </c>
      <c r="E8" s="22">
        <f>$B$4*(1+B8)^D8</f>
        <v>122167097.00830811</v>
      </c>
      <c r="F8" s="2" t="s">
        <v>186</v>
      </c>
    </row>
    <row r="9" spans="1:6" ht="30" x14ac:dyDescent="0.25">
      <c r="A9" s="2" t="s">
        <v>187</v>
      </c>
      <c r="B9" s="25">
        <v>0.03</v>
      </c>
      <c r="C9" s="9">
        <v>3</v>
      </c>
      <c r="D9" s="17">
        <f>$B$5*12/C9</f>
        <v>20</v>
      </c>
      <c r="E9" s="22">
        <f>$B$4*(1+B9)^D9</f>
        <v>135458342.60020599</v>
      </c>
      <c r="F9" s="2" t="s">
        <v>186</v>
      </c>
    </row>
    <row r="10" spans="1:6" ht="30" x14ac:dyDescent="0.25">
      <c r="A10" s="2" t="s">
        <v>188</v>
      </c>
      <c r="B10" s="25">
        <v>4.2000000000000003E-2</v>
      </c>
      <c r="C10" s="9">
        <v>4</v>
      </c>
      <c r="D10" s="17">
        <f>$B$5*12/C10</f>
        <v>15</v>
      </c>
      <c r="E10" s="22">
        <f>$B$4*(1+B10)^D10</f>
        <v>139019924.34972954</v>
      </c>
      <c r="F10" s="2" t="s">
        <v>186</v>
      </c>
    </row>
    <row r="11" spans="1:6" ht="30" x14ac:dyDescent="0.25">
      <c r="A11" s="2" t="s">
        <v>189</v>
      </c>
      <c r="B11" s="25">
        <v>6.3E-2</v>
      </c>
      <c r="C11" s="9">
        <v>2</v>
      </c>
      <c r="D11" s="17">
        <f>$B$5*12/C11</f>
        <v>30</v>
      </c>
      <c r="E11" s="22">
        <f>$B$4*(1+B11)^D11</f>
        <v>468877290.89536083</v>
      </c>
      <c r="F11" s="2" t="s">
        <v>186</v>
      </c>
    </row>
    <row r="12" spans="1:6" ht="30" x14ac:dyDescent="0.25">
      <c r="A12" s="2" t="s">
        <v>190</v>
      </c>
      <c r="B12" s="25">
        <v>2.5000000000000001E-2</v>
      </c>
      <c r="C12" s="9">
        <v>1</v>
      </c>
      <c r="D12" s="17">
        <f>$B$5*12/C12</f>
        <v>60</v>
      </c>
      <c r="E12" s="22">
        <f>$B$4*(1+B12)^D12</f>
        <v>329984231.16112757</v>
      </c>
      <c r="F12" s="2" t="s">
        <v>186</v>
      </c>
    </row>
  </sheetData>
  <mergeCells count="2">
    <mergeCell ref="A2:F2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E27" sqref="E27"/>
    </sheetView>
  </sheetViews>
  <sheetFormatPr baseColWidth="10" defaultColWidth="9.140625" defaultRowHeight="15" x14ac:dyDescent="0.25"/>
  <cols>
    <col min="1" max="1" width="14" customWidth="1"/>
    <col min="2" max="3" width="18" customWidth="1"/>
    <col min="4" max="6" width="16" customWidth="1"/>
    <col min="7" max="8" width="18" customWidth="1"/>
  </cols>
  <sheetData>
    <row r="1" spans="1:8" ht="24" customHeight="1" x14ac:dyDescent="0.25">
      <c r="A1" s="27" t="s">
        <v>199</v>
      </c>
      <c r="B1" s="28"/>
      <c r="C1" s="28"/>
      <c r="D1" s="28"/>
      <c r="E1" s="28"/>
      <c r="F1" s="28"/>
      <c r="G1" s="28"/>
      <c r="H1" s="28"/>
    </row>
    <row r="2" spans="1:8" x14ac:dyDescent="0.25">
      <c r="A2" s="29" t="s">
        <v>192</v>
      </c>
      <c r="B2" s="28"/>
      <c r="C2" s="28"/>
      <c r="D2" s="28"/>
      <c r="E2" s="28"/>
      <c r="F2" s="28"/>
      <c r="G2" s="28"/>
      <c r="H2" s="28"/>
    </row>
    <row r="4" spans="1:8" x14ac:dyDescent="0.25">
      <c r="A4" s="7" t="s">
        <v>37</v>
      </c>
      <c r="B4" s="8">
        <v>9.4999999999999998E-3</v>
      </c>
    </row>
    <row r="5" spans="1:8" ht="30" x14ac:dyDescent="0.25">
      <c r="A5" s="7" t="s">
        <v>38</v>
      </c>
      <c r="B5" s="9">
        <v>72</v>
      </c>
    </row>
    <row r="8" spans="1:8" ht="30" x14ac:dyDescent="0.25">
      <c r="A8" s="1" t="s">
        <v>193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191</v>
      </c>
    </row>
    <row r="9" spans="1:8" x14ac:dyDescent="0.25">
      <c r="A9" s="2" t="s">
        <v>194</v>
      </c>
      <c r="B9" s="10">
        <v>1950000</v>
      </c>
      <c r="C9" s="11">
        <v>4.5</v>
      </c>
      <c r="D9" s="9">
        <v>9</v>
      </c>
      <c r="E9" s="12">
        <f>$B$5-D9</f>
        <v>63</v>
      </c>
      <c r="F9" s="13">
        <f>1+$B$4*E9</f>
        <v>1.5985</v>
      </c>
      <c r="G9" s="3">
        <f>B9*F9</f>
        <v>3117075</v>
      </c>
      <c r="H9" s="2" t="s">
        <v>46</v>
      </c>
    </row>
    <row r="10" spans="1:8" x14ac:dyDescent="0.25">
      <c r="A10" s="2" t="s">
        <v>195</v>
      </c>
      <c r="B10" s="10">
        <v>1850000</v>
      </c>
      <c r="C10" s="11">
        <v>6.5</v>
      </c>
      <c r="D10" s="9">
        <v>13</v>
      </c>
      <c r="E10" s="12">
        <f>$B$5-D10</f>
        <v>59</v>
      </c>
      <c r="F10" s="13">
        <f>1+$B$4*E10</f>
        <v>1.5605</v>
      </c>
      <c r="G10" s="3">
        <f>B10*F10</f>
        <v>2886925</v>
      </c>
      <c r="H10" s="2" t="s">
        <v>47</v>
      </c>
    </row>
    <row r="11" spans="1:8" x14ac:dyDescent="0.25">
      <c r="A11" s="2" t="s">
        <v>196</v>
      </c>
      <c r="B11" s="10">
        <v>1750000</v>
      </c>
      <c r="C11" s="11">
        <v>9.5</v>
      </c>
      <c r="D11" s="9">
        <v>19</v>
      </c>
      <c r="E11" s="12">
        <f>$B$5-D11</f>
        <v>53</v>
      </c>
      <c r="F11" s="13">
        <f>1+$B$4*E11</f>
        <v>1.5034999999999998</v>
      </c>
      <c r="G11" s="3">
        <f>B11*F11</f>
        <v>2631124.9999999995</v>
      </c>
      <c r="H11" s="2" t="s">
        <v>48</v>
      </c>
    </row>
    <row r="12" spans="1:8" x14ac:dyDescent="0.25">
      <c r="A12" s="2" t="s">
        <v>197</v>
      </c>
      <c r="B12" s="10">
        <v>1650000</v>
      </c>
      <c r="C12" s="11">
        <v>15</v>
      </c>
      <c r="D12" s="9">
        <v>30</v>
      </c>
      <c r="E12" s="12">
        <f>$B$5-D12</f>
        <v>42</v>
      </c>
      <c r="F12" s="13">
        <f>1+$B$4*E12</f>
        <v>1.399</v>
      </c>
      <c r="G12" s="3">
        <f>B12*F12</f>
        <v>2308350</v>
      </c>
      <c r="H12" s="2" t="s">
        <v>49</v>
      </c>
    </row>
    <row r="13" spans="1:8" x14ac:dyDescent="0.25">
      <c r="A13" s="2" t="s">
        <v>198</v>
      </c>
      <c r="B13" s="10">
        <v>1600000</v>
      </c>
      <c r="C13" s="11">
        <v>18</v>
      </c>
      <c r="D13" s="9">
        <v>36</v>
      </c>
      <c r="E13" s="12">
        <f>$B$5-D13</f>
        <v>36</v>
      </c>
      <c r="F13" s="13">
        <f>1+$B$4*E13</f>
        <v>1.3420000000000001</v>
      </c>
      <c r="G13" s="3">
        <f>B13*F13</f>
        <v>2147200</v>
      </c>
      <c r="H13" s="2" t="s">
        <v>50</v>
      </c>
    </row>
    <row r="15" spans="1:8" ht="30" x14ac:dyDescent="0.25">
      <c r="F15" s="14" t="s">
        <v>51</v>
      </c>
      <c r="G15" s="15">
        <f>SUM(G9:G13)</f>
        <v>13090675</v>
      </c>
    </row>
    <row r="16" spans="1:8" ht="45" x14ac:dyDescent="0.25">
      <c r="F16" s="14" t="s">
        <v>52</v>
      </c>
      <c r="G16" s="15">
        <f>G15/(1+$B$4*$B$5)</f>
        <v>7773559.9762470312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showGridLines="0" workbookViewId="0">
      <selection activeCell="D29" sqref="D29"/>
    </sheetView>
  </sheetViews>
  <sheetFormatPr baseColWidth="10" defaultColWidth="9.140625" defaultRowHeight="15" x14ac:dyDescent="0.25"/>
  <cols>
    <col min="1" max="1" width="14" customWidth="1"/>
    <col min="2" max="2" width="16" customWidth="1"/>
    <col min="3" max="3" width="12" customWidth="1"/>
    <col min="4" max="5" width="18" customWidth="1"/>
    <col min="6" max="6" width="10" customWidth="1"/>
    <col min="7" max="8" width="18" customWidth="1"/>
    <col min="9" max="9" width="10" customWidth="1"/>
    <col min="10" max="11" width="18" customWidth="1"/>
    <col min="12" max="12" width="12" customWidth="1"/>
    <col min="13" max="13" width="18" customWidth="1"/>
  </cols>
  <sheetData>
    <row r="1" spans="1:13" ht="24" customHeight="1" x14ac:dyDescent="0.25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3" ht="24" customHeight="1" x14ac:dyDescent="0.25">
      <c r="A4" s="7" t="s">
        <v>55</v>
      </c>
      <c r="B4" s="10">
        <v>280000000</v>
      </c>
    </row>
    <row r="5" spans="1:13" ht="24" customHeight="1" x14ac:dyDescent="0.25">
      <c r="A5" s="7" t="s">
        <v>56</v>
      </c>
      <c r="B5" s="8">
        <v>0.25</v>
      </c>
    </row>
    <row r="8" spans="1:13" x14ac:dyDescent="0.25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64</v>
      </c>
      <c r="I8" s="1" t="s">
        <v>65</v>
      </c>
      <c r="J8" s="1" t="s">
        <v>66</v>
      </c>
      <c r="K8" s="1" t="s">
        <v>67</v>
      </c>
      <c r="L8" s="1" t="s">
        <v>68</v>
      </c>
      <c r="M8" s="1" t="s">
        <v>69</v>
      </c>
    </row>
    <row r="9" spans="1:13" x14ac:dyDescent="0.25">
      <c r="A9" s="7" t="s">
        <v>70</v>
      </c>
      <c r="B9" s="10">
        <v>278000000</v>
      </c>
      <c r="C9" s="8">
        <v>0.2</v>
      </c>
      <c r="D9" s="16">
        <f>B9*C9</f>
        <v>55600000</v>
      </c>
      <c r="E9" s="16">
        <f>B9*(1-C9)</f>
        <v>222400000</v>
      </c>
      <c r="F9" s="17">
        <v>0.5</v>
      </c>
      <c r="G9" s="16">
        <f>E9/(1+$B$5*F9)</f>
        <v>197688888.8888889</v>
      </c>
      <c r="H9" s="16">
        <v>0</v>
      </c>
      <c r="I9" s="17">
        <v>0</v>
      </c>
      <c r="J9" s="16">
        <v>0</v>
      </c>
      <c r="K9" s="16">
        <f t="shared" ref="K9:K14" si="0">D9+G9+J9</f>
        <v>253288888.8888889</v>
      </c>
      <c r="L9" s="12">
        <f t="shared" ref="L9:L14" si="1">RANK(K9,$K$9:$K$14,0)</f>
        <v>2</v>
      </c>
      <c r="M9" s="18" t="str">
        <f t="shared" ref="M9:M14" si="2">IF(K9=MAX($K$9:$K$14),"Más conveniente","")</f>
        <v/>
      </c>
    </row>
    <row r="10" spans="1:13" x14ac:dyDescent="0.25">
      <c r="A10" s="7" t="s">
        <v>71</v>
      </c>
      <c r="B10" s="10">
        <v>277000000</v>
      </c>
      <c r="C10" s="8">
        <v>0.25</v>
      </c>
      <c r="D10" s="16">
        <f>B10*C10</f>
        <v>69250000</v>
      </c>
      <c r="E10" s="16">
        <f>B10*(1-C10)</f>
        <v>207750000</v>
      </c>
      <c r="F10" s="17">
        <v>1</v>
      </c>
      <c r="G10" s="16">
        <f>E10/(1+$B$5*F10)</f>
        <v>166200000</v>
      </c>
      <c r="H10" s="16">
        <v>0</v>
      </c>
      <c r="I10" s="17">
        <v>0</v>
      </c>
      <c r="J10" s="16">
        <v>0</v>
      </c>
      <c r="K10" s="16">
        <f t="shared" si="0"/>
        <v>235450000</v>
      </c>
      <c r="L10" s="12">
        <f t="shared" si="1"/>
        <v>5</v>
      </c>
      <c r="M10" s="18" t="str">
        <f t="shared" si="2"/>
        <v/>
      </c>
    </row>
    <row r="11" spans="1:13" x14ac:dyDescent="0.25">
      <c r="A11" s="7" t="s">
        <v>72</v>
      </c>
      <c r="B11" s="10">
        <v>280000000</v>
      </c>
      <c r="C11" s="8">
        <v>0.5</v>
      </c>
      <c r="D11" s="16">
        <f>B11*C11</f>
        <v>140000000</v>
      </c>
      <c r="E11" s="16">
        <f>B11*(1-C11)</f>
        <v>140000000</v>
      </c>
      <c r="F11" s="17">
        <v>1</v>
      </c>
      <c r="G11" s="16">
        <f>E11/(1+$B$5*F11)</f>
        <v>112000000</v>
      </c>
      <c r="H11" s="16">
        <v>0</v>
      </c>
      <c r="I11" s="17">
        <v>0</v>
      </c>
      <c r="J11" s="16">
        <v>0</v>
      </c>
      <c r="K11" s="16">
        <f t="shared" si="0"/>
        <v>252000000</v>
      </c>
      <c r="L11" s="12">
        <f t="shared" si="1"/>
        <v>3</v>
      </c>
      <c r="M11" s="18" t="str">
        <f t="shared" si="2"/>
        <v/>
      </c>
    </row>
    <row r="12" spans="1:13" x14ac:dyDescent="0.25">
      <c r="A12" s="7" t="s">
        <v>73</v>
      </c>
      <c r="B12" s="10">
        <v>280000000</v>
      </c>
      <c r="C12" s="8">
        <v>0</v>
      </c>
      <c r="D12" s="16">
        <v>0</v>
      </c>
      <c r="E12" s="16">
        <f>B12*75%</f>
        <v>210000000</v>
      </c>
      <c r="F12" s="17">
        <v>0.5</v>
      </c>
      <c r="G12" s="16">
        <f>E12/(1+$B$5*F12)</f>
        <v>186666666.66666666</v>
      </c>
      <c r="H12" s="16">
        <f>B12*25%</f>
        <v>70000000</v>
      </c>
      <c r="I12" s="17">
        <v>1</v>
      </c>
      <c r="J12" s="16">
        <f>H12/(1+$B$5*I12)</f>
        <v>56000000</v>
      </c>
      <c r="K12" s="16">
        <f t="shared" si="0"/>
        <v>242666666.66666666</v>
      </c>
      <c r="L12" s="12">
        <f t="shared" si="1"/>
        <v>4</v>
      </c>
      <c r="M12" s="18" t="str">
        <f t="shared" si="2"/>
        <v/>
      </c>
    </row>
    <row r="13" spans="1:13" x14ac:dyDescent="0.25">
      <c r="A13" s="7" t="s">
        <v>74</v>
      </c>
      <c r="B13" s="10">
        <v>280000000</v>
      </c>
      <c r="C13" s="8">
        <v>0.95</v>
      </c>
      <c r="D13" s="16">
        <f>B13*95%</f>
        <v>266000000</v>
      </c>
      <c r="E13" s="16">
        <v>0</v>
      </c>
      <c r="F13" s="17">
        <v>0</v>
      </c>
      <c r="G13" s="16">
        <v>0</v>
      </c>
      <c r="H13" s="16">
        <v>0</v>
      </c>
      <c r="I13" s="17">
        <v>0</v>
      </c>
      <c r="J13" s="16">
        <v>0</v>
      </c>
      <c r="K13" s="16">
        <f t="shared" si="0"/>
        <v>266000000</v>
      </c>
      <c r="L13" s="12">
        <f t="shared" si="1"/>
        <v>1</v>
      </c>
      <c r="M13" s="18" t="str">
        <f t="shared" si="2"/>
        <v>Más conveniente</v>
      </c>
    </row>
    <row r="14" spans="1:13" x14ac:dyDescent="0.25">
      <c r="A14" s="7" t="s">
        <v>75</v>
      </c>
      <c r="B14" s="10">
        <v>280000000</v>
      </c>
      <c r="C14" s="8">
        <v>0</v>
      </c>
      <c r="D14" s="16">
        <v>0</v>
      </c>
      <c r="E14" s="16">
        <f>B14*99%</f>
        <v>277200000</v>
      </c>
      <c r="F14" s="17">
        <v>1</v>
      </c>
      <c r="G14" s="16">
        <f>E14/(1+$B$5*F14)</f>
        <v>221760000</v>
      </c>
      <c r="H14" s="16">
        <v>0</v>
      </c>
      <c r="I14" s="17">
        <v>0</v>
      </c>
      <c r="J14" s="16">
        <v>0</v>
      </c>
      <c r="K14" s="16">
        <f t="shared" si="0"/>
        <v>221760000</v>
      </c>
      <c r="L14" s="12">
        <f t="shared" si="1"/>
        <v>6</v>
      </c>
      <c r="M14" s="18" t="str">
        <f t="shared" si="2"/>
        <v/>
      </c>
    </row>
    <row r="16" spans="1:13" ht="30" x14ac:dyDescent="0.25">
      <c r="J16" s="14" t="s">
        <v>76</v>
      </c>
      <c r="K16" s="19">
        <f>MAX(K9:K14)</f>
        <v>266000000</v>
      </c>
    </row>
    <row r="17" spans="10:11" ht="30" x14ac:dyDescent="0.25">
      <c r="J17" s="14" t="s">
        <v>77</v>
      </c>
      <c r="K17" s="20" t="str">
        <f>INDEX(A9:A14,MATCH(MAX(K9:K14),K9:K14,0))</f>
        <v>e</v>
      </c>
    </row>
    <row r="18" spans="10:11" ht="30" x14ac:dyDescent="0.25">
      <c r="J18" s="14" t="s">
        <v>78</v>
      </c>
      <c r="K18" s="19">
        <f>K16-$B$4</f>
        <v>-14000000</v>
      </c>
    </row>
  </sheetData>
  <mergeCells count="2">
    <mergeCell ref="A2:M2"/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workbookViewId="0">
      <selection activeCell="H15" sqref="A15:XFD16"/>
    </sheetView>
  </sheetViews>
  <sheetFormatPr baseColWidth="10" defaultColWidth="9.140625" defaultRowHeight="15" x14ac:dyDescent="0.25"/>
  <cols>
    <col min="1" max="1" width="22" customWidth="1"/>
    <col min="2" max="5" width="16" customWidth="1"/>
    <col min="6" max="7" width="18" customWidth="1"/>
  </cols>
  <sheetData>
    <row r="1" spans="1:7" ht="24" customHeight="1" x14ac:dyDescent="0.25">
      <c r="A1" s="27" t="s">
        <v>79</v>
      </c>
      <c r="B1" s="28"/>
      <c r="C1" s="28"/>
      <c r="D1" s="28"/>
      <c r="E1" s="28"/>
      <c r="F1" s="28"/>
      <c r="G1" s="28"/>
    </row>
    <row r="2" spans="1:7" x14ac:dyDescent="0.25">
      <c r="A2" s="29" t="s">
        <v>80</v>
      </c>
      <c r="B2" s="28"/>
      <c r="C2" s="28"/>
      <c r="D2" s="28"/>
      <c r="E2" s="28"/>
      <c r="F2" s="28"/>
      <c r="G2" s="28"/>
    </row>
    <row r="4" spans="1:7" ht="30" x14ac:dyDescent="0.25">
      <c r="A4" s="7" t="s">
        <v>81</v>
      </c>
      <c r="B4" s="10">
        <v>55000000</v>
      </c>
    </row>
    <row r="5" spans="1:7" ht="30" x14ac:dyDescent="0.25">
      <c r="A5" s="7" t="s">
        <v>82</v>
      </c>
      <c r="B5" s="10">
        <v>150000000</v>
      </c>
    </row>
    <row r="6" spans="1:7" ht="30" x14ac:dyDescent="0.25">
      <c r="A6" s="7" t="s">
        <v>83</v>
      </c>
      <c r="B6" s="3">
        <f>B5-B4</f>
        <v>95000000</v>
      </c>
    </row>
    <row r="7" spans="1:7" x14ac:dyDescent="0.25">
      <c r="A7" s="7" t="s">
        <v>84</v>
      </c>
      <c r="B7" s="11">
        <v>2.5</v>
      </c>
    </row>
    <row r="9" spans="1:7" ht="30" x14ac:dyDescent="0.25">
      <c r="A9" s="1" t="s">
        <v>85</v>
      </c>
      <c r="B9" s="1" t="s">
        <v>86</v>
      </c>
      <c r="C9" s="1" t="s">
        <v>87</v>
      </c>
      <c r="D9" s="1" t="s">
        <v>88</v>
      </c>
      <c r="E9" s="1" t="s">
        <v>89</v>
      </c>
      <c r="F9" s="1" t="s">
        <v>90</v>
      </c>
      <c r="G9" s="1" t="s">
        <v>91</v>
      </c>
    </row>
    <row r="10" spans="1:7" x14ac:dyDescent="0.25">
      <c r="A10" s="2" t="s">
        <v>92</v>
      </c>
      <c r="B10" s="9">
        <v>2</v>
      </c>
      <c r="C10" s="8">
        <v>0.18</v>
      </c>
      <c r="D10" s="21">
        <f>C10/B10</f>
        <v>0.09</v>
      </c>
      <c r="E10" s="17">
        <f>$B$7*B10</f>
        <v>5</v>
      </c>
      <c r="F10" s="22">
        <f>$B$6/(1+D10)^E10</f>
        <v>61743481.6983428</v>
      </c>
      <c r="G10" s="2" t="s">
        <v>93</v>
      </c>
    </row>
    <row r="11" spans="1:7" x14ac:dyDescent="0.25">
      <c r="A11" s="2" t="s">
        <v>94</v>
      </c>
      <c r="B11" s="9">
        <v>6</v>
      </c>
      <c r="C11" s="8">
        <v>0.18</v>
      </c>
      <c r="D11" s="21">
        <f>C11/B11</f>
        <v>0.03</v>
      </c>
      <c r="E11" s="17">
        <f>$B$7*B11</f>
        <v>15</v>
      </c>
      <c r="F11" s="22">
        <f>$B$6/(1+D11)^E11</f>
        <v>60976885.002688177</v>
      </c>
      <c r="G11" s="2" t="s">
        <v>95</v>
      </c>
    </row>
    <row r="12" spans="1:7" x14ac:dyDescent="0.25">
      <c r="A12" s="2" t="s">
        <v>96</v>
      </c>
      <c r="B12" s="9">
        <v>4</v>
      </c>
      <c r="C12" s="8">
        <v>0.18</v>
      </c>
      <c r="D12" s="21">
        <f>C12/B12</f>
        <v>4.4999999999999998E-2</v>
      </c>
      <c r="E12" s="17">
        <f>$B$7*B12</f>
        <v>10</v>
      </c>
      <c r="F12" s="22">
        <f>$B$6/(1+D12)^E12</f>
        <v>61173129.792854108</v>
      </c>
      <c r="G12" s="2" t="s">
        <v>97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showGridLines="0" workbookViewId="0">
      <selection activeCell="A16" sqref="A16:XFD19"/>
    </sheetView>
  </sheetViews>
  <sheetFormatPr baseColWidth="10" defaultColWidth="9.140625" defaultRowHeight="15" x14ac:dyDescent="0.25"/>
  <cols>
    <col min="1" max="1" width="22" customWidth="1"/>
    <col min="2" max="2" width="14" customWidth="1"/>
    <col min="3" max="4" width="12" customWidth="1"/>
    <col min="5" max="5" width="14" customWidth="1"/>
    <col min="6" max="13" width="16" customWidth="1"/>
  </cols>
  <sheetData>
    <row r="1" spans="1:13" ht="24" customHeight="1" x14ac:dyDescent="0.25">
      <c r="A1" s="27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3" x14ac:dyDescent="0.25">
      <c r="A4" s="7" t="s">
        <v>100</v>
      </c>
      <c r="B4" s="10">
        <v>35000000</v>
      </c>
    </row>
    <row r="5" spans="1:13" x14ac:dyDescent="0.25">
      <c r="A5" s="7" t="s">
        <v>101</v>
      </c>
      <c r="B5" s="9">
        <v>12</v>
      </c>
    </row>
    <row r="6" spans="1:13" x14ac:dyDescent="0.25">
      <c r="A6" s="7" t="s">
        <v>102</v>
      </c>
      <c r="B6" s="8">
        <v>0.5</v>
      </c>
    </row>
    <row r="7" spans="1:13" x14ac:dyDescent="0.25">
      <c r="A7" s="7" t="s">
        <v>103</v>
      </c>
      <c r="B7" s="9">
        <v>6</v>
      </c>
    </row>
    <row r="8" spans="1:13" x14ac:dyDescent="0.25">
      <c r="A8" s="7" t="s">
        <v>104</v>
      </c>
      <c r="B8" s="9">
        <v>9</v>
      </c>
    </row>
    <row r="9" spans="1:13" ht="30" x14ac:dyDescent="0.25">
      <c r="A9" s="7" t="s">
        <v>105</v>
      </c>
      <c r="B9" s="9">
        <v>24</v>
      </c>
    </row>
    <row r="12" spans="1:13" ht="30" x14ac:dyDescent="0.25">
      <c r="A12" s="1" t="s">
        <v>106</v>
      </c>
      <c r="B12" s="1" t="s">
        <v>87</v>
      </c>
      <c r="C12" s="1" t="s">
        <v>86</v>
      </c>
      <c r="D12" s="1" t="s">
        <v>107</v>
      </c>
      <c r="E12" s="1" t="s">
        <v>88</v>
      </c>
      <c r="F12" s="1" t="s">
        <v>108</v>
      </c>
      <c r="G12" s="1" t="s">
        <v>109</v>
      </c>
      <c r="H12" s="1" t="s">
        <v>110</v>
      </c>
      <c r="I12" s="1" t="s">
        <v>111</v>
      </c>
      <c r="J12" s="1" t="s">
        <v>112</v>
      </c>
      <c r="K12" s="1" t="s">
        <v>113</v>
      </c>
      <c r="L12" s="1" t="s">
        <v>114</v>
      </c>
      <c r="M12" s="1" t="s">
        <v>115</v>
      </c>
    </row>
    <row r="13" spans="1:13" x14ac:dyDescent="0.25">
      <c r="A13" s="2" t="s">
        <v>116</v>
      </c>
      <c r="B13" s="8">
        <v>0.14000000000000001</v>
      </c>
      <c r="C13" s="9">
        <v>12</v>
      </c>
      <c r="D13" s="9">
        <v>1</v>
      </c>
      <c r="E13" s="21">
        <f>B13/C13</f>
        <v>1.1666666666666667E-2</v>
      </c>
      <c r="F13" s="13">
        <f>(1+E13)^(1/D13)-1</f>
        <v>1.1666666666666714E-2</v>
      </c>
      <c r="G13" s="16">
        <f>$B$4*(1+F13)^$B$5</f>
        <v>40226971.022250518</v>
      </c>
      <c r="H13" s="16">
        <f>G13*(1-$B$6)</f>
        <v>20113485.511125259</v>
      </c>
      <c r="I13" s="16">
        <f>H13*(1+F13)^$B$7</f>
        <v>21563138.934765413</v>
      </c>
      <c r="J13" s="16">
        <f>I13*2</f>
        <v>43126277.869530827</v>
      </c>
      <c r="K13" s="16">
        <f>J13*(1+F13)^$B$8</f>
        <v>47871710.227252185</v>
      </c>
      <c r="L13" s="16">
        <f>K13*2</f>
        <v>95743420.454504371</v>
      </c>
      <c r="M13" s="22">
        <f>L13*(1+F13)^$B$9</f>
        <v>126475823.34004478</v>
      </c>
    </row>
    <row r="14" spans="1:13" x14ac:dyDescent="0.25">
      <c r="A14" s="2" t="s">
        <v>117</v>
      </c>
      <c r="B14" s="8">
        <v>0.18</v>
      </c>
      <c r="C14" s="9">
        <v>12</v>
      </c>
      <c r="D14" s="9">
        <v>1</v>
      </c>
      <c r="E14" s="21">
        <f>B14/C14</f>
        <v>1.4999999999999999E-2</v>
      </c>
      <c r="F14" s="13">
        <f>(1+E14)^(1/D14)-1</f>
        <v>1.4999999999999902E-2</v>
      </c>
      <c r="G14" s="16">
        <f>$B$4*(1+F14)^$B$5</f>
        <v>41846636.001153663</v>
      </c>
      <c r="H14" s="16">
        <f>G14*(1-$B$6)</f>
        <v>20923318.000576831</v>
      </c>
      <c r="I14" s="16">
        <f>H14*(1+F14)^$B$7</f>
        <v>22878461.127060518</v>
      </c>
      <c r="J14" s="16">
        <f>I14*2</f>
        <v>45756922.254121035</v>
      </c>
      <c r="K14" s="16">
        <f>J14*(1+F14)^$B$8</f>
        <v>52318006.210255384</v>
      </c>
      <c r="L14" s="16">
        <f>K14*2</f>
        <v>104636012.42051077</v>
      </c>
      <c r="M14" s="22">
        <f>L14*(1+F14)^$B$9</f>
        <v>149577473.98416004</v>
      </c>
    </row>
    <row r="15" spans="1:13" x14ac:dyDescent="0.25">
      <c r="A15" s="2" t="s">
        <v>118</v>
      </c>
      <c r="B15" s="8">
        <v>0.2</v>
      </c>
      <c r="C15" s="9">
        <v>6</v>
      </c>
      <c r="D15" s="9">
        <v>2</v>
      </c>
      <c r="E15" s="21">
        <f>B15/C15</f>
        <v>3.3333333333333333E-2</v>
      </c>
      <c r="F15" s="13">
        <f>(1+E15)^(1/D15)-1</f>
        <v>1.6530045465127152E-2</v>
      </c>
      <c r="G15" s="16">
        <f>$B$4*(1+F15)^$B$5</f>
        <v>42609916.097393714</v>
      </c>
      <c r="H15" s="16">
        <f>G15*(1-$B$6)</f>
        <v>21304958.048696857</v>
      </c>
      <c r="I15" s="16">
        <f>H15*(1+F15)^$B$7</f>
        <v>23507259.452915858</v>
      </c>
      <c r="J15" s="16">
        <f>I15*2</f>
        <v>47014518.905831717</v>
      </c>
      <c r="K15" s="16">
        <f>J15*(1+F15)^$B$8</f>
        <v>54489644.236212105</v>
      </c>
      <c r="L15" s="16">
        <f>K15*2</f>
        <v>108979288.47242421</v>
      </c>
      <c r="M15" s="22">
        <f>L15*(1+F15)^$B$9</f>
        <v>161521090.26869431</v>
      </c>
    </row>
  </sheetData>
  <mergeCells count="2">
    <mergeCell ref="A2:M2"/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showGridLines="0" workbookViewId="0">
      <selection activeCell="A16" sqref="A16:XFD20"/>
    </sheetView>
  </sheetViews>
  <sheetFormatPr baseColWidth="10" defaultColWidth="9.140625" defaultRowHeight="15" x14ac:dyDescent="0.25"/>
  <cols>
    <col min="1" max="1" width="16" customWidth="1"/>
    <col min="2" max="2" width="14" customWidth="1"/>
    <col min="3" max="5" width="16" customWidth="1"/>
    <col min="6" max="7" width="18" customWidth="1"/>
    <col min="8" max="9" width="22" customWidth="1"/>
  </cols>
  <sheetData>
    <row r="1" spans="1:9" ht="24" customHeight="1" x14ac:dyDescent="0.25">
      <c r="A1" s="27" t="s">
        <v>119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120</v>
      </c>
      <c r="B2" s="28"/>
      <c r="C2" s="28"/>
      <c r="D2" s="28"/>
      <c r="E2" s="28"/>
      <c r="F2" s="28"/>
      <c r="G2" s="28"/>
      <c r="H2" s="28"/>
      <c r="I2" s="28"/>
    </row>
    <row r="4" spans="1:9" x14ac:dyDescent="0.25">
      <c r="A4" s="7" t="s">
        <v>121</v>
      </c>
      <c r="B4" s="10">
        <v>38000000</v>
      </c>
    </row>
    <row r="8" spans="1:9" ht="30" x14ac:dyDescent="0.25">
      <c r="A8" s="1" t="s">
        <v>122</v>
      </c>
      <c r="B8" s="1" t="s">
        <v>123</v>
      </c>
      <c r="C8" s="1" t="s">
        <v>124</v>
      </c>
      <c r="D8" s="1" t="s">
        <v>125</v>
      </c>
      <c r="E8" s="1" t="s">
        <v>126</v>
      </c>
      <c r="F8" s="1" t="s">
        <v>127</v>
      </c>
      <c r="G8" s="1" t="s">
        <v>128</v>
      </c>
      <c r="H8" s="1" t="s">
        <v>129</v>
      </c>
      <c r="I8" s="1" t="s">
        <v>130</v>
      </c>
    </row>
    <row r="9" spans="1:9" x14ac:dyDescent="0.25">
      <c r="A9" s="2" t="s">
        <v>131</v>
      </c>
      <c r="B9" s="11">
        <v>1</v>
      </c>
      <c r="C9" s="17">
        <f>B9*4</f>
        <v>4</v>
      </c>
      <c r="D9" s="8">
        <v>0.12</v>
      </c>
      <c r="E9" s="21">
        <f>D9/12</f>
        <v>0.01</v>
      </c>
      <c r="F9" s="13">
        <f>(1+E9)^3-1</f>
        <v>3.0300999999999911E-2</v>
      </c>
      <c r="G9" s="23">
        <f>(1+F9)^C9</f>
        <v>1.1268250301319696</v>
      </c>
      <c r="H9" s="16">
        <f>$B$4</f>
        <v>38000000</v>
      </c>
      <c r="I9" s="22">
        <f>H9*G9</f>
        <v>42819351.145014845</v>
      </c>
    </row>
    <row r="10" spans="1:9" ht="30" x14ac:dyDescent="0.25">
      <c r="A10" s="2" t="s">
        <v>132</v>
      </c>
      <c r="B10" s="11">
        <v>1.5</v>
      </c>
      <c r="C10" s="17">
        <f>B10*4</f>
        <v>6</v>
      </c>
      <c r="D10" s="8">
        <v>0.14000000000000001</v>
      </c>
      <c r="E10" s="21">
        <f>D10/12</f>
        <v>1.1666666666666667E-2</v>
      </c>
      <c r="F10" s="13">
        <f>(1+E10)^3-1</f>
        <v>3.5409921296296387E-2</v>
      </c>
      <c r="G10" s="23">
        <f>(1+F10)^C10</f>
        <v>1.2321793677008808</v>
      </c>
      <c r="H10" s="16">
        <f>I9</f>
        <v>42819351.145014845</v>
      </c>
      <c r="I10" s="22">
        <f>H10*G10</f>
        <v>52761121.01922638</v>
      </c>
    </row>
    <row r="11" spans="1:9" x14ac:dyDescent="0.25">
      <c r="A11" s="2" t="s">
        <v>133</v>
      </c>
      <c r="B11" s="11">
        <v>1</v>
      </c>
      <c r="C11" s="17">
        <f>B11*4</f>
        <v>4</v>
      </c>
      <c r="D11" s="8">
        <v>0.16</v>
      </c>
      <c r="E11" s="21">
        <f>D11/12</f>
        <v>1.3333333333333334E-2</v>
      </c>
      <c r="F11" s="13">
        <f>(1+E11)^3-1</f>
        <v>4.0535703703703962E-2</v>
      </c>
      <c r="G11" s="23">
        <f>(1+F11)^C11</f>
        <v>1.1722707982588769</v>
      </c>
      <c r="H11" s="16">
        <f>I10</f>
        <v>52761121.01922638</v>
      </c>
      <c r="I11" s="22">
        <f>H11*G11</f>
        <v>61850321.454241715</v>
      </c>
    </row>
    <row r="12" spans="1:9" x14ac:dyDescent="0.25">
      <c r="A12" s="2" t="s">
        <v>133</v>
      </c>
      <c r="B12" s="11">
        <v>1</v>
      </c>
      <c r="C12" s="17">
        <f>B12*4</f>
        <v>4</v>
      </c>
      <c r="D12" s="8">
        <v>0.18</v>
      </c>
      <c r="E12" s="21">
        <f>D12/12</f>
        <v>1.4999999999999999E-2</v>
      </c>
      <c r="F12" s="13">
        <f>(1+E12)^3-1</f>
        <v>4.5678374999999605E-2</v>
      </c>
      <c r="G12" s="23">
        <f>(1+F12)^C12</f>
        <v>1.1956181714615337</v>
      </c>
      <c r="H12" s="16">
        <f>I11</f>
        <v>61850321.454241715</v>
      </c>
      <c r="I12" s="22">
        <f>H12*G12</f>
        <v>73949368.241428554</v>
      </c>
    </row>
    <row r="13" spans="1:9" x14ac:dyDescent="0.25">
      <c r="A13" s="2" t="s">
        <v>134</v>
      </c>
      <c r="B13" s="11">
        <v>3.5</v>
      </c>
      <c r="C13" s="17">
        <f>B13*4</f>
        <v>14</v>
      </c>
      <c r="D13" s="8">
        <v>0.2</v>
      </c>
      <c r="E13" s="21">
        <f>D13/12</f>
        <v>1.6666666666666666E-2</v>
      </c>
      <c r="F13" s="13">
        <f>(1+E13)^3-1</f>
        <v>5.0837962962962724E-2</v>
      </c>
      <c r="G13" s="23">
        <f>(1+F13)^C13</f>
        <v>2.0021681771811703</v>
      </c>
      <c r="H13" s="16">
        <f>I12</f>
        <v>73949368.241428554</v>
      </c>
      <c r="I13" s="22">
        <f>H13*G13</f>
        <v>148059071.81564015</v>
      </c>
    </row>
    <row r="15" spans="1:9" ht="30" customHeight="1" x14ac:dyDescent="0.25">
      <c r="H15" s="14" t="s">
        <v>135</v>
      </c>
      <c r="I15" s="19">
        <f>I13</f>
        <v>148059071.81564015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workbookViewId="0">
      <selection activeCell="A15" sqref="A15:XFD22"/>
    </sheetView>
  </sheetViews>
  <sheetFormatPr baseColWidth="10" defaultColWidth="9.140625" defaultRowHeight="15" x14ac:dyDescent="0.25"/>
  <cols>
    <col min="1" max="1" width="22" customWidth="1"/>
    <col min="2" max="4" width="18" customWidth="1"/>
  </cols>
  <sheetData>
    <row r="1" spans="1:4" ht="24" customHeight="1" x14ac:dyDescent="0.25">
      <c r="A1" s="27" t="s">
        <v>136</v>
      </c>
      <c r="B1" s="28"/>
      <c r="C1" s="28"/>
      <c r="D1" s="28"/>
    </row>
    <row r="2" spans="1:4" x14ac:dyDescent="0.25">
      <c r="A2" s="29" t="s">
        <v>137</v>
      </c>
      <c r="B2" s="28"/>
      <c r="C2" s="28"/>
      <c r="D2" s="28"/>
    </row>
    <row r="4" spans="1:4" x14ac:dyDescent="0.25">
      <c r="A4" s="7" t="s">
        <v>138</v>
      </c>
      <c r="B4" s="10">
        <v>85000000</v>
      </c>
    </row>
    <row r="5" spans="1:4" x14ac:dyDescent="0.25">
      <c r="A5" s="7" t="s">
        <v>139</v>
      </c>
      <c r="B5" s="9">
        <v>7</v>
      </c>
    </row>
    <row r="6" spans="1:4" x14ac:dyDescent="0.25">
      <c r="A6" s="7" t="s">
        <v>140</v>
      </c>
      <c r="B6" s="24">
        <f>B5*12</f>
        <v>84</v>
      </c>
    </row>
    <row r="8" spans="1:4" ht="30" x14ac:dyDescent="0.25">
      <c r="A8" s="1" t="s">
        <v>106</v>
      </c>
      <c r="B8" s="1" t="s">
        <v>141</v>
      </c>
      <c r="C8" s="1" t="s">
        <v>142</v>
      </c>
      <c r="D8" s="1" t="s">
        <v>45</v>
      </c>
    </row>
    <row r="9" spans="1:4" ht="45" x14ac:dyDescent="0.25">
      <c r="A9" s="2" t="s">
        <v>143</v>
      </c>
      <c r="B9" s="25">
        <v>1.2E-2</v>
      </c>
      <c r="C9" s="22">
        <f>$B$4/(1+B9)^$B$6</f>
        <v>31207276.969041005</v>
      </c>
      <c r="D9" s="2" t="s">
        <v>144</v>
      </c>
    </row>
    <row r="10" spans="1:4" ht="45" x14ac:dyDescent="0.25">
      <c r="A10" s="2" t="s">
        <v>145</v>
      </c>
      <c r="B10" s="25">
        <v>1.2500000000000001E-2</v>
      </c>
      <c r="C10" s="22">
        <f>$B$4/(1+B10)^$B$6</f>
        <v>29938928.095932301</v>
      </c>
      <c r="D10" s="2" t="s">
        <v>144</v>
      </c>
    </row>
    <row r="11" spans="1:4" ht="45" x14ac:dyDescent="0.25">
      <c r="A11" s="2" t="s">
        <v>146</v>
      </c>
      <c r="B11" s="25">
        <v>1.2999999999999999E-2</v>
      </c>
      <c r="C11" s="22">
        <f>$B$4/(1+B11)^$B$6</f>
        <v>28722716.751000617</v>
      </c>
      <c r="D11" s="2" t="s">
        <v>144</v>
      </c>
    </row>
    <row r="12" spans="1:4" ht="45" x14ac:dyDescent="0.25">
      <c r="A12" s="2" t="s">
        <v>147</v>
      </c>
      <c r="B12" s="25">
        <v>1.35E-2</v>
      </c>
      <c r="C12" s="22">
        <f>$B$4/(1+B12)^$B$6</f>
        <v>27556475.57454275</v>
      </c>
      <c r="D12" s="2" t="s">
        <v>144</v>
      </c>
    </row>
    <row r="13" spans="1:4" ht="45" x14ac:dyDescent="0.25">
      <c r="A13" s="2" t="s">
        <v>148</v>
      </c>
      <c r="B13" s="25">
        <v>1.4500000000000001E-2</v>
      </c>
      <c r="C13" s="22">
        <f>$B$4/(1+B13)^$B$6</f>
        <v>25365685.920425605</v>
      </c>
      <c r="D13" s="2" t="s">
        <v>144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showGridLines="0" workbookViewId="0">
      <selection activeCell="A11" sqref="A11:XFD14"/>
    </sheetView>
  </sheetViews>
  <sheetFormatPr baseColWidth="10" defaultColWidth="9.140625" defaultRowHeight="15" x14ac:dyDescent="0.25"/>
  <cols>
    <col min="1" max="1" width="28" customWidth="1"/>
    <col min="2" max="2" width="18" customWidth="1"/>
    <col min="3" max="3" width="14" customWidth="1"/>
    <col min="4" max="9" width="18" customWidth="1"/>
  </cols>
  <sheetData>
    <row r="1" spans="1:9" ht="24" customHeight="1" x14ac:dyDescent="0.25">
      <c r="A1" s="27" t="s">
        <v>149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150</v>
      </c>
      <c r="B2" s="28"/>
      <c r="C2" s="28"/>
      <c r="D2" s="28"/>
      <c r="E2" s="28"/>
      <c r="F2" s="28"/>
      <c r="G2" s="28"/>
      <c r="H2" s="28"/>
      <c r="I2" s="28"/>
    </row>
    <row r="6" spans="1:9" ht="30" x14ac:dyDescent="0.25">
      <c r="A6" s="1" t="s">
        <v>151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156</v>
      </c>
      <c r="G6" s="1" t="s">
        <v>157</v>
      </c>
      <c r="H6" s="1" t="s">
        <v>158</v>
      </c>
      <c r="I6" s="1" t="s">
        <v>159</v>
      </c>
    </row>
    <row r="7" spans="1:9" x14ac:dyDescent="0.25">
      <c r="A7" s="2" t="s">
        <v>160</v>
      </c>
      <c r="B7" s="25">
        <v>1.2500000000000001E-2</v>
      </c>
      <c r="C7" s="9">
        <v>1</v>
      </c>
      <c r="D7" s="13">
        <f>B7/(1-B7)</f>
        <v>1.2658227848101266E-2</v>
      </c>
      <c r="E7" s="13">
        <f>(1+D7)^(1/C7)-1</f>
        <v>1.2658227848101333E-2</v>
      </c>
      <c r="F7" s="13">
        <f>(1+D7)^(2/C7)-1</f>
        <v>2.5476686428457018E-2</v>
      </c>
      <c r="G7" s="13">
        <f>(1+D7)^(3/C7)-1</f>
        <v>3.8457403978184423E-2</v>
      </c>
      <c r="H7" s="13">
        <f>(1+D7)^(4/C7)-1</f>
        <v>5.1602434408287934E-2</v>
      </c>
      <c r="I7" s="26">
        <f>(1+D7)^(6/C7)-1</f>
        <v>7.8393779877109937E-2</v>
      </c>
    </row>
    <row r="8" spans="1:9" x14ac:dyDescent="0.25">
      <c r="A8" s="2" t="s">
        <v>161</v>
      </c>
      <c r="B8" s="25">
        <v>2.1499999999999998E-2</v>
      </c>
      <c r="C8" s="9">
        <v>2</v>
      </c>
      <c r="D8" s="13">
        <f>B8/(1-B8)</f>
        <v>2.1972406745017881E-2</v>
      </c>
      <c r="E8" s="13">
        <f>(1+D8)^(1/C8)-1</f>
        <v>1.0926509072255897E-2</v>
      </c>
      <c r="F8" s="13">
        <f>(1+D8)^(2/C8)-1</f>
        <v>2.1972406745017992E-2</v>
      </c>
      <c r="G8" s="13">
        <f>(1+D8)^(3/C8)-1</f>
        <v>3.3138997518912694E-2</v>
      </c>
      <c r="H8" s="13">
        <f>(1+D8)^(4/C8)-1</f>
        <v>4.442760014820446E-2</v>
      </c>
      <c r="I8" s="26">
        <f>(1+D8)^(6/C8)-1</f>
        <v>6.7376188194383735E-2</v>
      </c>
    </row>
    <row r="9" spans="1:9" x14ac:dyDescent="0.25">
      <c r="A9" s="2" t="s">
        <v>162</v>
      </c>
      <c r="B9" s="25">
        <v>3.2500000000000001E-2</v>
      </c>
      <c r="C9" s="9">
        <v>3</v>
      </c>
      <c r="D9" s="13">
        <f>B9/(1-B9)</f>
        <v>3.3591731266149873E-2</v>
      </c>
      <c r="E9" s="13">
        <f>(1+D9)^(1/C9)-1</f>
        <v>1.1074154164969929E-2</v>
      </c>
      <c r="F9" s="13">
        <f>(1+D9)^(2/C9)-1</f>
        <v>2.227094522040951E-2</v>
      </c>
      <c r="G9" s="13">
        <f>(1+D9)^(3/C9)-1</f>
        <v>3.3591731266149782E-2</v>
      </c>
      <c r="H9" s="13">
        <f>(1+D9)^(4/C9)-1</f>
        <v>4.5037885441829406E-2</v>
      </c>
      <c r="I9" s="26">
        <f>(1+D9)^(6/C9)-1</f>
        <v>6.8311866941756838E-2</v>
      </c>
    </row>
    <row r="10" spans="1:9" x14ac:dyDescent="0.25">
      <c r="A10" s="2" t="s">
        <v>163</v>
      </c>
      <c r="B10" s="25">
        <v>6.4500000000000002E-2</v>
      </c>
      <c r="C10" s="9">
        <v>6</v>
      </c>
      <c r="D10" s="13">
        <f>B10/(1-B10)</f>
        <v>6.8947087119187608E-2</v>
      </c>
      <c r="E10" s="13">
        <f>(1+D10)^(1/C10)-1</f>
        <v>1.1174327104816806E-2</v>
      </c>
      <c r="F10" s="13">
        <f>(1+D10)^(2/C10)-1</f>
        <v>2.2473519795879193E-2</v>
      </c>
      <c r="G10" s="13">
        <f>(1+D10)^(3/C10)-1</f>
        <v>3.38989733620918E-2</v>
      </c>
      <c r="H10" s="13">
        <f>(1+D10)^(4/C10)-1</f>
        <v>4.5452098683774311E-2</v>
      </c>
      <c r="I10" s="26">
        <f>(1+D10)^(6/C10)-1</f>
        <v>6.8947087119187511E-2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"/>
  <sheetViews>
    <sheetView showGridLines="0" workbookViewId="0">
      <selection activeCell="A12" sqref="A12:XFD17"/>
    </sheetView>
  </sheetViews>
  <sheetFormatPr baseColWidth="10" defaultColWidth="9.140625" defaultRowHeight="15" x14ac:dyDescent="0.25"/>
  <cols>
    <col min="1" max="3" width="18" customWidth="1"/>
    <col min="4" max="4" width="20" customWidth="1"/>
  </cols>
  <sheetData>
    <row r="1" spans="1:4" ht="24" customHeight="1" x14ac:dyDescent="0.25">
      <c r="A1" s="27" t="s">
        <v>164</v>
      </c>
      <c r="B1" s="28"/>
      <c r="C1" s="28"/>
      <c r="D1" s="28"/>
    </row>
    <row r="2" spans="1:4" x14ac:dyDescent="0.25">
      <c r="A2" s="29" t="s">
        <v>165</v>
      </c>
      <c r="B2" s="28"/>
      <c r="C2" s="28"/>
      <c r="D2" s="28"/>
    </row>
    <row r="4" spans="1:4" x14ac:dyDescent="0.25">
      <c r="A4" s="7" t="s">
        <v>166</v>
      </c>
      <c r="B4" s="10">
        <v>70000000</v>
      </c>
    </row>
    <row r="6" spans="1:4" x14ac:dyDescent="0.25">
      <c r="A6" s="1" t="s">
        <v>167</v>
      </c>
      <c r="B6" s="1" t="s">
        <v>168</v>
      </c>
      <c r="C6" s="1" t="s">
        <v>169</v>
      </c>
      <c r="D6" s="1" t="s">
        <v>45</v>
      </c>
    </row>
    <row r="7" spans="1:4" ht="30" x14ac:dyDescent="0.25">
      <c r="A7" s="9">
        <v>5</v>
      </c>
      <c r="B7" s="10">
        <v>98000000</v>
      </c>
      <c r="C7" s="26">
        <f>(B7/$B$4)^(1/A7)-1</f>
        <v>6.9610375725068785E-2</v>
      </c>
      <c r="D7" s="2" t="s">
        <v>170</v>
      </c>
    </row>
    <row r="8" spans="1:4" ht="30" x14ac:dyDescent="0.25">
      <c r="A8" s="9">
        <v>6</v>
      </c>
      <c r="B8" s="10">
        <v>105000000</v>
      </c>
      <c r="C8" s="26">
        <f>(B8/$B$4)^(1/A8)-1</f>
        <v>6.991319393366302E-2</v>
      </c>
      <c r="D8" s="2" t="s">
        <v>170</v>
      </c>
    </row>
    <row r="9" spans="1:4" ht="30" x14ac:dyDescent="0.25">
      <c r="A9" s="9">
        <v>7</v>
      </c>
      <c r="B9" s="10">
        <v>108000000</v>
      </c>
      <c r="C9" s="26">
        <f>(B9/$B$4)^(1/A9)-1</f>
        <v>6.390701785613695E-2</v>
      </c>
      <c r="D9" s="2" t="s">
        <v>170</v>
      </c>
    </row>
    <row r="10" spans="1:4" ht="30" x14ac:dyDescent="0.25">
      <c r="A10" s="9">
        <v>8</v>
      </c>
      <c r="B10" s="10">
        <v>111000000</v>
      </c>
      <c r="C10" s="26">
        <f>(B10/$B$4)^(1/A10)-1</f>
        <v>5.9322306219564247E-2</v>
      </c>
      <c r="D10" s="2" t="s">
        <v>170</v>
      </c>
    </row>
    <row r="11" spans="1:4" ht="30" x14ac:dyDescent="0.25">
      <c r="A11" s="9">
        <v>9</v>
      </c>
      <c r="B11" s="10">
        <v>115000000</v>
      </c>
      <c r="C11" s="26">
        <f>(B11/$B$4)^(1/A11)-1</f>
        <v>5.6709309113653905E-2</v>
      </c>
      <c r="D11" s="2" t="s">
        <v>170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</vt:lpstr>
      <vt:lpstr>Problema1_InteresSimple</vt:lpstr>
      <vt:lpstr>Problema2_ComparaciónOferta</vt:lpstr>
      <vt:lpstr>Problema3_Maquinaria</vt:lpstr>
      <vt:lpstr>Problema4_Cuenta</vt:lpstr>
      <vt:lpstr>Problema5_Inversion</vt:lpstr>
      <vt:lpstr>Problema6_Prestamo</vt:lpstr>
      <vt:lpstr>Problema7_TasasAnticipadas</vt:lpstr>
      <vt:lpstr>Problema8_Tasa</vt:lpstr>
      <vt:lpstr>Problema9_TasasEfectivasPeriodi</vt:lpstr>
      <vt:lpstr>P10_DepositoTerminoFijo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Gestor de Medicion y ANS (Resp. Cristian Andres Toro V</cp:lastModifiedBy>
  <dcterms:modified xsi:type="dcterms:W3CDTF">2026-03-09T04:10:40Z</dcterms:modified>
</cp:coreProperties>
</file>